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1" activeTab="4"/>
  </bookViews>
  <sheets>
    <sheet name="summary" sheetId="1" r:id="rId1"/>
    <sheet name="Last Year Actual" sheetId="2" r:id="rId2"/>
    <sheet name="Current Year Budget" sheetId="3" r:id="rId3"/>
    <sheet name="Actuals and Projection" sheetId="4" r:id="rId4"/>
    <sheet name="Opening Cash Balance" sheetId="5" r:id="rId5"/>
    <sheet name="Cash Flow Projection" sheetId="6" r:id="rId6"/>
  </sheets>
  <definedNames>
    <definedName name="_xlnm.Print_Area" localSheetId="5">'Cash Flow Projection'!$A$1:$L$20</definedName>
    <definedName name="_xlnm.Print_Area" localSheetId="1">'Last Year Actual'!$A$1:$O$48</definedName>
  </definedNames>
  <calcPr fullCalcOnLoad="1"/>
</workbook>
</file>

<file path=xl/sharedStrings.xml><?xml version="1.0" encoding="utf-8"?>
<sst xmlns="http://schemas.openxmlformats.org/spreadsheetml/2006/main" count="208" uniqueCount="110">
  <si>
    <t>Previous Fiscal Year Actual Results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</si>
  <si>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</si>
  <si>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</si>
  <si>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</si>
  <si>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</si>
  <si>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</si>
  <si>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</si>
  <si>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</si>
  <si>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</si>
  <si>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</si>
  <si>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</si>
  <si>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</si>
  <si>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</si>
  <si>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Income</t>
  </si>
  <si>
    <t>Contributed Support</t>
  </si>
  <si>
    <t xml:space="preserve">     Federal Gov't Grants</t>
  </si>
  <si>
    <t xml:space="preserve">     State Gov't Grants</t>
  </si>
  <si>
    <t xml:space="preserve">     Local Gov't Grants</t>
  </si>
  <si>
    <t xml:space="preserve">     Individual Gifts</t>
  </si>
  <si>
    <t xml:space="preserve">     Memberships</t>
  </si>
  <si>
    <t xml:space="preserve">     Bequests</t>
  </si>
  <si>
    <t xml:space="preserve">     Corporate/Foundation Grants</t>
  </si>
  <si>
    <t>Earned Revenue</t>
  </si>
  <si>
    <t xml:space="preserve">     Federal Gov't Contracts</t>
  </si>
  <si>
    <t xml:space="preserve">     State Gov't Contracts</t>
  </si>
  <si>
    <t xml:space="preserve">     Local Gov't Contracts</t>
  </si>
  <si>
    <t xml:space="preserve">     Investment Income</t>
  </si>
  <si>
    <t xml:space="preserve">     Other Income </t>
  </si>
  <si>
    <t>Staff Wages/Benefits</t>
  </si>
  <si>
    <t>Lease/Facility Expenses</t>
  </si>
  <si>
    <t>Professional Services</t>
  </si>
  <si>
    <t>Marketing/Advertising</t>
  </si>
  <si>
    <t>Other Administrative</t>
  </si>
  <si>
    <t>Loan Payments</t>
  </si>
  <si>
    <t>Other Expenses</t>
  </si>
  <si>
    <t>Total Year</t>
  </si>
  <si>
    <t>Other Fundraising Expenses</t>
  </si>
  <si>
    <r>
      <t xml:space="preserve">Credit Card Payment </t>
    </r>
    <r>
      <rPr>
        <sz val="8"/>
        <color indexed="8"/>
        <rFont val="Calibri"/>
        <family val="2"/>
      </rPr>
      <t>(unless included in other expense categories)</t>
    </r>
  </si>
  <si>
    <t>Program 1*</t>
  </si>
  <si>
    <t>Program 2*</t>
  </si>
  <si>
    <t>*Insert additional programs or events needed if your track them or you can combine into one line</t>
  </si>
  <si>
    <t xml:space="preserve">     Program 1 Fees*</t>
  </si>
  <si>
    <t xml:space="preserve">     Program 2 Fees*</t>
  </si>
  <si>
    <r>
      <t xml:space="preserve">Events Gross Income </t>
    </r>
    <r>
      <rPr>
        <sz val="9"/>
        <color indexed="8"/>
        <rFont val="Calibri"/>
        <family val="2"/>
      </rPr>
      <t>(incl. sponsorships)</t>
    </r>
    <r>
      <rPr>
        <sz val="11"/>
        <color indexed="8"/>
        <rFont val="Calibri"/>
        <family val="2"/>
      </rPr>
      <t>*</t>
    </r>
  </si>
  <si>
    <t>Net Revenue</t>
  </si>
  <si>
    <t>Event Expenses</t>
  </si>
  <si>
    <r>
      <rPr>
        <b/>
        <sz val="14"/>
        <color indexed="8"/>
        <rFont val="Calibri"/>
        <family val="2"/>
      </rPr>
      <t>Comments</t>
    </r>
    <r>
      <rPr>
        <b/>
        <sz val="11"/>
        <color indexed="8"/>
        <rFont val="Calibri"/>
        <family val="2"/>
      </rPr>
      <t xml:space="preserve"> (use this section to explain any unusual expense/revenues that may not be repeated in future years)</t>
    </r>
  </si>
  <si>
    <t>Organization Name:</t>
  </si>
  <si>
    <t xml:space="preserve">Provided by </t>
  </si>
  <si>
    <t>This Year's Budget</t>
  </si>
  <si>
    <t>Note: This assumes your budget was not spread by month.  Enter Total Budget and it will autofill using last year's seasonality.  If you created a monthly budget, delete the formulas that are in the grey section and manually enter</t>
  </si>
  <si>
    <t>Annual Budget</t>
  </si>
  <si>
    <t>Fiscal YTD Actuals</t>
  </si>
  <si>
    <t>Actuals plus Projection through end of 2020</t>
  </si>
  <si>
    <t>Cash Flow Projection</t>
  </si>
  <si>
    <r>
      <t xml:space="preserve">Inflows </t>
    </r>
    <r>
      <rPr>
        <b/>
        <sz val="11"/>
        <color indexed="8"/>
        <rFont val="Calibri"/>
        <family val="2"/>
      </rPr>
      <t>(formula from Projection)</t>
    </r>
  </si>
  <si>
    <t>restricted funds released</t>
  </si>
  <si>
    <t>Income from Projection</t>
  </si>
  <si>
    <r>
      <rPr>
        <b/>
        <sz val="14"/>
        <color indexed="8"/>
        <rFont val="Calibri"/>
        <family val="2"/>
      </rPr>
      <t>Comments</t>
    </r>
    <r>
      <rPr>
        <b/>
        <sz val="11"/>
        <color indexed="8"/>
        <rFont val="Calibri"/>
        <family val="2"/>
      </rPr>
      <t xml:space="preserve"> (use this section to explain your assumptions for the coming months)</t>
    </r>
  </si>
  <si>
    <t>Average Monthly Expenses</t>
  </si>
  <si>
    <t>Ending Balance of Cash on Hand</t>
  </si>
  <si>
    <t>Number of Months Available</t>
  </si>
  <si>
    <t>Beginning Cash Balance /Month</t>
  </si>
  <si>
    <t>Summary Financials</t>
  </si>
  <si>
    <t>Organization Name</t>
  </si>
  <si>
    <t>Earned Income</t>
  </si>
  <si>
    <t>Contributed Income</t>
  </si>
  <si>
    <t>Total Income</t>
  </si>
  <si>
    <t>Wages/Benefits</t>
  </si>
  <si>
    <t>Last Year</t>
  </si>
  <si>
    <t>Budget This Year</t>
  </si>
  <si>
    <t>YTD This Year</t>
  </si>
  <si>
    <t>Projected Cash Balance as of December 2020</t>
  </si>
  <si>
    <t>Net Cash Flow</t>
  </si>
  <si>
    <t>Projection Rest of Fiscal Year</t>
  </si>
  <si>
    <t>Projection through end of Dec 2020</t>
  </si>
  <si>
    <t>Provided by</t>
  </si>
  <si>
    <t>Note:  $150,000 of the federal contract will be for next fiscal year</t>
  </si>
  <si>
    <t>ABC Nonrprofit</t>
  </si>
  <si>
    <t>Date:</t>
  </si>
  <si>
    <t>Fiscal Year</t>
  </si>
  <si>
    <t xml:space="preserve">Adapted from model provided by: </t>
  </si>
  <si>
    <t xml:space="preserve">Adapated fom model provided by: </t>
  </si>
  <si>
    <t>adapted from model provided by:</t>
  </si>
  <si>
    <t>Net Cash</t>
  </si>
  <si>
    <t>Note:  If your fiscal year starts in a different month - change the months below</t>
  </si>
  <si>
    <t>Cash Balance as of March 31, 2020</t>
  </si>
  <si>
    <t>5/1/20</t>
  </si>
  <si>
    <t>Expenses/Cash Outflows</t>
  </si>
  <si>
    <t>Expanses/Cash Outflows</t>
  </si>
  <si>
    <t>Unrestricted Cash on Hand (March 31,2020)</t>
  </si>
  <si>
    <t>Months of Cash on Hand at Year End</t>
  </si>
  <si>
    <t>Total Expenses/Cash Outflows</t>
  </si>
  <si>
    <t>(you make the formula for this based on how many months are left in your fiscal year)</t>
  </si>
  <si>
    <t>Cash in Checking Account(s)</t>
  </si>
  <si>
    <t>Opening Cash Balance (as of March 31, 2020)</t>
  </si>
  <si>
    <t>Cash in Savings Account(s)</t>
  </si>
  <si>
    <t>Cash in Money Market/Investment Accounts</t>
  </si>
  <si>
    <t xml:space="preserve">Other Unrestricted Cash </t>
  </si>
  <si>
    <t xml:space="preserve">TOTAL OPENING CASH BALANCE </t>
  </si>
  <si>
    <t>Note: this is the total from the Opening Cash Balance tab</t>
  </si>
  <si>
    <t>Unrestricted Cash on Hand</t>
  </si>
  <si>
    <t>Restricted Cash Released for Use</t>
  </si>
  <si>
    <t>Restricted balance from previous year</t>
  </si>
  <si>
    <t>Endowment funds released</t>
  </si>
  <si>
    <t>Other restricted funds released</t>
  </si>
  <si>
    <t>TOTAL RESTRICTED FUNDS RELEASED</t>
  </si>
  <si>
    <t>Note: Enter the Actual Income/Expenses year to date through March for this fiscal Year - provide a projection for the remainder of the calendar year</t>
  </si>
  <si>
    <t>this number goes to cell D5 on the cash flow projection sheet</t>
  </si>
  <si>
    <t>this number goes to cell C11 on the cash flow projection sheet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</si>
</sst>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.0_);_(* \(#,##0.0\);_(* &quot;-&quot;??_);_(@_)"/>
    <numFmt numFmtId="167" formatCode="&quot;$&quot;#,##0.00"/>
    <numFmt numFmtId="168" formatCode="_(&quot;$&quot;* #,##0.0_);_(&quot;$&quot;* \(#,##0.0\);_(&quot;$&quot;* &quot;-&quot;??_);_(@_)"/>
  </numFmts>
  <fonts count="56">
    <font>
      <sz val="11"/>
      <color indexed="8"/>
      <name val="Calibri"/>
      <family val="0"/>
    </font>
    <font>
      <sz val="11"/>
      <color indexed="8"/>
      <name val="Helvetica Neue"/>
      <family val="2"/>
    </font>
    <font>
      <sz val="11"/>
      <color indexed="14"/>
      <name val="Calibri"/>
      <family val="0"/>
    </font>
    <font>
      <u val="single"/>
      <sz val="11"/>
      <color indexed="8"/>
      <name val="Calibri"/>
      <family val="0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13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Helvetica Neue"/>
      <family val="2"/>
    </font>
    <font>
      <sz val="11"/>
      <color indexed="20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i/>
      <sz val="11"/>
      <color indexed="23"/>
      <name val="Helvetica Neue"/>
      <family val="2"/>
    </font>
    <font>
      <sz val="11"/>
      <color indexed="58"/>
      <name val="Helvetica Neue"/>
      <family val="2"/>
    </font>
    <font>
      <b/>
      <sz val="15"/>
      <color indexed="11"/>
      <name val="Helvetica Neue"/>
      <family val="2"/>
    </font>
    <font>
      <b/>
      <sz val="13"/>
      <color indexed="11"/>
      <name val="Helvetica Neue"/>
      <family val="2"/>
    </font>
    <font>
      <b/>
      <sz val="11"/>
      <color indexed="11"/>
      <name val="Helvetica Neue"/>
      <family val="2"/>
    </font>
    <font>
      <sz val="11"/>
      <color indexed="62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16"/>
      <name val="Helvetica Neue"/>
      <family val="2"/>
    </font>
    <font>
      <sz val="18"/>
      <color indexed="11"/>
      <name val="Helvetica Neue"/>
      <family val="2"/>
    </font>
    <font>
      <b/>
      <sz val="11"/>
      <color indexed="8"/>
      <name val="Helvetica Neue"/>
      <family val="2"/>
    </font>
    <font>
      <sz val="11"/>
      <color indexed="13"/>
      <name val="Helvetica Neue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13"/>
      <name val="Calibri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5700"/>
      <name val="Helvetica Neue"/>
      <family val="2"/>
    </font>
    <font>
      <b/>
      <sz val="11"/>
      <color rgb="FF3F3F3F"/>
      <name val="Helvetica Neue"/>
      <family val="2"/>
    </font>
    <font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FF0000"/>
      <name val="Calibri"/>
      <family val="2"/>
    </font>
    <font>
      <sz val="8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0.799979984760284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64" fontId="0" fillId="13" borderId="10" xfId="4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0" fillId="13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49" fontId="5" fillId="19" borderId="11" xfId="0" applyNumberFormat="1" applyFont="1" applyFill="1" applyBorder="1" applyAlignment="1">
      <alignment/>
    </xf>
    <xf numFmtId="0" fontId="5" fillId="19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164" fontId="0" fillId="33" borderId="10" xfId="44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0" fillId="13" borderId="16" xfId="0" applyNumberFormat="1" applyFont="1" applyFill="1" applyBorder="1" applyAlignment="1">
      <alignment/>
    </xf>
    <xf numFmtId="49" fontId="0" fillId="0" borderId="16" xfId="0" applyNumberFormat="1" applyFont="1" applyBorder="1" applyAlignment="1">
      <alignment/>
    </xf>
    <xf numFmtId="49" fontId="0" fillId="33" borderId="16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49" fontId="0" fillId="0" borderId="16" xfId="0" applyNumberFormat="1" applyFont="1" applyBorder="1" applyAlignment="1">
      <alignment/>
    </xf>
    <xf numFmtId="0" fontId="0" fillId="13" borderId="13" xfId="0" applyFont="1" applyFill="1" applyBorder="1" applyAlignment="1">
      <alignment/>
    </xf>
    <xf numFmtId="164" fontId="5" fillId="19" borderId="18" xfId="44" applyNumberFormat="1" applyFont="1" applyFill="1" applyBorder="1" applyAlignment="1">
      <alignment/>
    </xf>
    <xf numFmtId="164" fontId="10" fillId="19" borderId="18" xfId="44" applyNumberFormat="1" applyFont="1" applyFill="1" applyBorder="1" applyAlignment="1">
      <alignment/>
    </xf>
    <xf numFmtId="164" fontId="5" fillId="19" borderId="19" xfId="44" applyNumberFormat="1" applyFont="1" applyFill="1" applyBorder="1" applyAlignment="1">
      <alignment/>
    </xf>
    <xf numFmtId="164" fontId="0" fillId="13" borderId="20" xfId="44" applyNumberFormat="1" applyFont="1" applyFill="1" applyBorder="1" applyAlignment="1">
      <alignment/>
    </xf>
    <xf numFmtId="164" fontId="0" fillId="7" borderId="20" xfId="44" applyNumberFormat="1" applyFont="1" applyFill="1" applyBorder="1" applyAlignment="1">
      <alignment/>
    </xf>
    <xf numFmtId="0" fontId="0" fillId="7" borderId="20" xfId="0" applyFont="1" applyFill="1" applyBorder="1" applyAlignment="1">
      <alignment/>
    </xf>
    <xf numFmtId="164" fontId="0" fillId="33" borderId="21" xfId="44" applyNumberFormat="1" applyFont="1" applyFill="1" applyBorder="1" applyAlignment="1">
      <alignment/>
    </xf>
    <xf numFmtId="164" fontId="0" fillId="7" borderId="22" xfId="44" applyNumberFormat="1" applyFont="1" applyFill="1" applyBorder="1" applyAlignment="1">
      <alignment/>
    </xf>
    <xf numFmtId="0" fontId="0" fillId="1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 vertical="center"/>
    </xf>
    <xf numFmtId="44" fontId="5" fillId="15" borderId="11" xfId="44" applyFont="1" applyFill="1" applyBorder="1" applyAlignment="1">
      <alignment/>
    </xf>
    <xf numFmtId="164" fontId="5" fillId="15" borderId="18" xfId="44" applyNumberFormat="1" applyFont="1" applyFill="1" applyBorder="1" applyAlignment="1">
      <alignment/>
    </xf>
    <xf numFmtId="164" fontId="5" fillId="15" borderId="19" xfId="44" applyNumberFormat="1" applyFont="1" applyFill="1" applyBorder="1" applyAlignment="1">
      <alignment/>
    </xf>
    <xf numFmtId="164" fontId="0" fillId="3" borderId="20" xfId="44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21" xfId="0" applyFont="1" applyFill="1" applyBorder="1" applyAlignment="1">
      <alignment/>
    </xf>
    <xf numFmtId="164" fontId="0" fillId="3" borderId="22" xfId="44" applyNumberFormat="1" applyFont="1" applyFill="1" applyBorder="1" applyAlignment="1">
      <alignment/>
    </xf>
    <xf numFmtId="49" fontId="5" fillId="2" borderId="26" xfId="0" applyNumberFormat="1" applyFont="1" applyFill="1" applyBorder="1" applyAlignment="1">
      <alignment/>
    </xf>
    <xf numFmtId="164" fontId="5" fillId="2" borderId="26" xfId="0" applyNumberFormat="1" applyFont="1" applyFill="1" applyBorder="1" applyAlignment="1">
      <alignment/>
    </xf>
    <xf numFmtId="164" fontId="5" fillId="2" borderId="27" xfId="0" applyNumberFormat="1" applyFont="1" applyFill="1" applyBorder="1" applyAlignment="1">
      <alignment/>
    </xf>
    <xf numFmtId="0" fontId="0" fillId="2" borderId="28" xfId="0" applyNumberFormat="1" applyFont="1" applyFill="1" applyBorder="1" applyAlignment="1">
      <alignment/>
    </xf>
    <xf numFmtId="44" fontId="0" fillId="15" borderId="29" xfId="44" applyFont="1" applyFill="1" applyBorder="1" applyAlignment="1">
      <alignment/>
    </xf>
    <xf numFmtId="49" fontId="0" fillId="0" borderId="16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164" fontId="0" fillId="34" borderId="10" xfId="44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64" fontId="0" fillId="0" borderId="10" xfId="44" applyNumberFormat="1" applyFont="1" applyFill="1" applyBorder="1" applyAlignment="1">
      <alignment/>
    </xf>
    <xf numFmtId="164" fontId="0" fillId="34" borderId="21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164" fontId="0" fillId="35" borderId="10" xfId="44" applyNumberFormat="1" applyFont="1" applyFill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44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0" fontId="0" fillId="19" borderId="31" xfId="0" applyFont="1" applyFill="1" applyBorder="1" applyAlignment="1">
      <alignment/>
    </xf>
    <xf numFmtId="164" fontId="0" fillId="19" borderId="31" xfId="44" applyNumberFormat="1" applyFont="1" applyFill="1" applyBorder="1" applyAlignment="1">
      <alignment/>
    </xf>
    <xf numFmtId="0" fontId="0" fillId="15" borderId="3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4" fontId="0" fillId="0" borderId="0" xfId="44" applyNumberFormat="1" applyFont="1" applyBorder="1" applyAlignment="1">
      <alignment/>
    </xf>
    <xf numFmtId="0" fontId="0" fillId="19" borderId="23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164" fontId="0" fillId="15" borderId="31" xfId="44" applyNumberFormat="1" applyFont="1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31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164" fontId="0" fillId="0" borderId="33" xfId="44" applyNumberFormat="1" applyFont="1" applyBorder="1" applyAlignment="1">
      <alignment/>
    </xf>
    <xf numFmtId="164" fontId="0" fillId="19" borderId="36" xfId="44" applyNumberFormat="1" applyFont="1" applyFill="1" applyBorder="1" applyAlignment="1">
      <alignment/>
    </xf>
    <xf numFmtId="164" fontId="0" fillId="15" borderId="36" xfId="44" applyNumberFormat="1" applyFont="1" applyFill="1" applyBorder="1" applyAlignment="1">
      <alignment/>
    </xf>
    <xf numFmtId="164" fontId="0" fillId="8" borderId="31" xfId="0" applyNumberFormat="1" applyFont="1" applyFill="1" applyBorder="1" applyAlignment="1">
      <alignment/>
    </xf>
    <xf numFmtId="164" fontId="0" fillId="8" borderId="36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44" fontId="3" fillId="0" borderId="0" xfId="44" applyFont="1" applyFill="1" applyBorder="1" applyAlignment="1">
      <alignment horizontal="center"/>
    </xf>
    <xf numFmtId="0" fontId="0" fillId="0" borderId="13" xfId="0" applyFont="1" applyBorder="1" applyAlignment="1">
      <alignment/>
    </xf>
    <xf numFmtId="6" fontId="0" fillId="0" borderId="0" xfId="42" applyNumberFormat="1" applyFont="1" applyBorder="1" applyAlignment="1">
      <alignment/>
    </xf>
    <xf numFmtId="0" fontId="0" fillId="36" borderId="25" xfId="0" applyFont="1" applyFill="1" applyBorder="1" applyAlignment="1">
      <alignment/>
    </xf>
    <xf numFmtId="0" fontId="0" fillId="0" borderId="25" xfId="0" applyFont="1" applyBorder="1" applyAlignment="1" quotePrefix="1">
      <alignment/>
    </xf>
    <xf numFmtId="15" fontId="0" fillId="36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15" borderId="23" xfId="0" applyFont="1" applyFill="1" applyBorder="1" applyAlignment="1">
      <alignment/>
    </xf>
    <xf numFmtId="0" fontId="53" fillId="36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44" applyNumberFormat="1" applyFont="1" applyAlignment="1">
      <alignment/>
    </xf>
    <xf numFmtId="49" fontId="54" fillId="0" borderId="0" xfId="0" applyNumberFormat="1" applyFont="1" applyFill="1" applyBorder="1" applyAlignment="1">
      <alignment horizontal="left"/>
    </xf>
    <xf numFmtId="0" fontId="51" fillId="0" borderId="0" xfId="0" applyFont="1" applyAlignment="1">
      <alignment/>
    </xf>
    <xf numFmtId="6" fontId="0" fillId="10" borderId="0" xfId="44" applyNumberFormat="1" applyFont="1" applyFill="1" applyBorder="1" applyAlignment="1">
      <alignment horizontal="center"/>
    </xf>
    <xf numFmtId="164" fontId="0" fillId="10" borderId="10" xfId="44" applyNumberFormat="1" applyFont="1" applyFill="1" applyBorder="1" applyAlignment="1">
      <alignment/>
    </xf>
    <xf numFmtId="0" fontId="6" fillId="13" borderId="0" xfId="0" applyFont="1" applyFill="1" applyAlignment="1">
      <alignment/>
    </xf>
    <xf numFmtId="164" fontId="6" fillId="13" borderId="37" xfId="44" applyNumberFormat="1" applyFont="1" applyFill="1" applyBorder="1" applyAlignment="1">
      <alignment/>
    </xf>
    <xf numFmtId="0" fontId="55" fillId="13" borderId="0" xfId="0" applyFont="1" applyFill="1" applyAlignment="1">
      <alignment/>
    </xf>
    <xf numFmtId="164" fontId="6" fillId="13" borderId="0" xfId="44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A5A5A5"/>
      <rgbColor rgb="00BDC0BF"/>
      <rgbColor rgb="00FF0000"/>
      <rgbColor rgb="00ED7D31"/>
      <rgbColor rgb="00DDDDDD"/>
      <rgbColor rgb="003F3F3F"/>
      <rgbColor rgb="00FFFF00"/>
      <rgbColor rgb="00C5DEB5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22</xdr:row>
      <xdr:rowOff>76200</xdr:rowOff>
    </xdr:from>
    <xdr:to>
      <xdr:col>9</xdr:col>
      <xdr:colOff>228600</xdr:colOff>
      <xdr:row>24</xdr:row>
      <xdr:rowOff>152400</xdr:rowOff>
    </xdr:to>
    <xdr:grpSp>
      <xdr:nvGrpSpPr>
        <xdr:cNvPr id="1" name="Group 3"/>
        <xdr:cNvGrpSpPr>
          <a:grpSpLocks/>
        </xdr:cNvGrpSpPr>
      </xdr:nvGrpSpPr>
      <xdr:grpSpPr>
        <a:xfrm>
          <a:off x="5495925" y="4429125"/>
          <a:ext cx="2590800" cy="457200"/>
          <a:chOff x="16659856" y="147356"/>
          <a:chExt cx="7101846" cy="1279243"/>
        </a:xfrm>
        <a:solidFill>
          <a:srgbClr val="FFFFFF"/>
        </a:solidFill>
      </xdr:grpSpPr>
      <xdr:pic>
        <xdr:nvPicPr>
          <xdr:cNvPr id="2" name="Picture 4" descr="A picture containing clock&#10;&#10;Description automatically generate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13650" y="147356"/>
            <a:ext cx="4048052" cy="12792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 descr="A picture containing drawing&#10;&#10;Description automatically generate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064246" y="365787"/>
            <a:ext cx="1333372" cy="8382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" descr="A picture containing umbrella, clock&#10;&#10;Description automatically generated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659856" y="377300"/>
            <a:ext cx="914363" cy="91369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323850</xdr:colOff>
      <xdr:row>25</xdr:row>
      <xdr:rowOff>9525</xdr:rowOff>
    </xdr:from>
    <xdr:to>
      <xdr:col>8</xdr:col>
      <xdr:colOff>304800</xdr:colOff>
      <xdr:row>27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4933950"/>
          <a:ext cx="952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0</xdr:row>
      <xdr:rowOff>123825</xdr:rowOff>
    </xdr:from>
    <xdr:to>
      <xdr:col>15</xdr:col>
      <xdr:colOff>581025</xdr:colOff>
      <xdr:row>0</xdr:row>
      <xdr:rowOff>561975</xdr:rowOff>
    </xdr:to>
    <xdr:grpSp>
      <xdr:nvGrpSpPr>
        <xdr:cNvPr id="1" name="Group 3"/>
        <xdr:cNvGrpSpPr>
          <a:grpSpLocks/>
        </xdr:cNvGrpSpPr>
      </xdr:nvGrpSpPr>
      <xdr:grpSpPr>
        <a:xfrm>
          <a:off x="13411200" y="123825"/>
          <a:ext cx="2562225" cy="438150"/>
          <a:chOff x="16659856" y="147356"/>
          <a:chExt cx="7101846" cy="1279243"/>
        </a:xfrm>
        <a:solidFill>
          <a:srgbClr val="FFFFFF"/>
        </a:solidFill>
      </xdr:grpSpPr>
      <xdr:pic>
        <xdr:nvPicPr>
          <xdr:cNvPr id="2" name="Picture 4" descr="A picture containing clock&#10;&#10;Description automatically generate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13650" y="147356"/>
            <a:ext cx="4048052" cy="12792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 descr="A picture containing drawing&#10;&#10;Description automatically generate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064246" y="365787"/>
            <a:ext cx="1333372" cy="8382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" descr="A picture containing umbrella, clock&#10;&#10;Description automatically generated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659856" y="377300"/>
            <a:ext cx="914363" cy="91369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571500</xdr:colOff>
      <xdr:row>2</xdr:row>
      <xdr:rowOff>19050</xdr:rowOff>
    </xdr:from>
    <xdr:to>
      <xdr:col>16</xdr:col>
      <xdr:colOff>714375</xdr:colOff>
      <xdr:row>5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63900" y="800100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16</xdr:col>
      <xdr:colOff>504825</xdr:colOff>
      <xdr:row>0</xdr:row>
      <xdr:rowOff>438150</xdr:rowOff>
    </xdr:to>
    <xdr:grpSp>
      <xdr:nvGrpSpPr>
        <xdr:cNvPr id="1" name="Group 3"/>
        <xdr:cNvGrpSpPr>
          <a:grpSpLocks/>
        </xdr:cNvGrpSpPr>
      </xdr:nvGrpSpPr>
      <xdr:grpSpPr>
        <a:xfrm>
          <a:off x="14306550" y="0"/>
          <a:ext cx="2571750" cy="438150"/>
          <a:chOff x="16659856" y="147356"/>
          <a:chExt cx="7101846" cy="1279243"/>
        </a:xfrm>
        <a:solidFill>
          <a:srgbClr val="FFFFFF"/>
        </a:solidFill>
      </xdr:grpSpPr>
      <xdr:pic>
        <xdr:nvPicPr>
          <xdr:cNvPr id="2" name="Picture 4" descr="A picture containing clock&#10;&#10;Description automatically generate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13650" y="147356"/>
            <a:ext cx="4048052" cy="12792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 descr="A picture containing drawing&#10;&#10;Description automatically generate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064246" y="365787"/>
            <a:ext cx="1333372" cy="8382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" descr="A picture containing umbrella, clock&#10;&#10;Description automatically generated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659856" y="377300"/>
            <a:ext cx="914363" cy="91369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16</xdr:col>
      <xdr:colOff>285750</xdr:colOff>
      <xdr:row>2</xdr:row>
      <xdr:rowOff>19050</xdr:rowOff>
    </xdr:from>
    <xdr:to>
      <xdr:col>17</xdr:col>
      <xdr:colOff>419100</xdr:colOff>
      <xdr:row>5</xdr:row>
      <xdr:rowOff>9525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59225" y="800100"/>
          <a:ext cx="1228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19050</xdr:rowOff>
    </xdr:from>
    <xdr:to>
      <xdr:col>13</xdr:col>
      <xdr:colOff>514350</xdr:colOff>
      <xdr:row>1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11296650" y="19050"/>
          <a:ext cx="2562225" cy="447675"/>
          <a:chOff x="16659856" y="147356"/>
          <a:chExt cx="7101846" cy="1279243"/>
        </a:xfrm>
        <a:solidFill>
          <a:srgbClr val="FFFFFF"/>
        </a:solidFill>
      </xdr:grpSpPr>
      <xdr:pic>
        <xdr:nvPicPr>
          <xdr:cNvPr id="2" name="Picture 3" descr="A picture containing clock&#10;&#10;Description automatically generate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13650" y="147356"/>
            <a:ext cx="4048052" cy="12792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A picture containing drawing&#10;&#10;Description automatically generate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064246" y="365787"/>
            <a:ext cx="1333372" cy="8382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A picture containing umbrella, clock&#10;&#10;Description automatically generated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659856" y="377300"/>
            <a:ext cx="914363" cy="91369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13</xdr:col>
      <xdr:colOff>57150</xdr:colOff>
      <xdr:row>2</xdr:row>
      <xdr:rowOff>76200</xdr:rowOff>
    </xdr:from>
    <xdr:to>
      <xdr:col>13</xdr:col>
      <xdr:colOff>1009650</xdr:colOff>
      <xdr:row>4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01675" y="771525"/>
          <a:ext cx="95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12</xdr:col>
      <xdr:colOff>581025</xdr:colOff>
      <xdr:row>1</xdr:row>
      <xdr:rowOff>38100</xdr:rowOff>
    </xdr:to>
    <xdr:grpSp>
      <xdr:nvGrpSpPr>
        <xdr:cNvPr id="1" name="Group 3"/>
        <xdr:cNvGrpSpPr>
          <a:grpSpLocks/>
        </xdr:cNvGrpSpPr>
      </xdr:nvGrpSpPr>
      <xdr:grpSpPr>
        <a:xfrm>
          <a:off x="10877550" y="0"/>
          <a:ext cx="2581275" cy="447675"/>
          <a:chOff x="16659856" y="147356"/>
          <a:chExt cx="7101846" cy="1279243"/>
        </a:xfrm>
        <a:solidFill>
          <a:srgbClr val="FFFFFF"/>
        </a:solidFill>
      </xdr:grpSpPr>
      <xdr:pic>
        <xdr:nvPicPr>
          <xdr:cNvPr id="2" name="Picture 4" descr="A picture containing clock&#10;&#10;Description automatically generate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13650" y="147356"/>
            <a:ext cx="4048052" cy="12792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 descr="A picture containing drawing&#10;&#10;Description automatically generate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064246" y="365787"/>
            <a:ext cx="1333372" cy="8382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" descr="A picture containing umbrella, clock&#10;&#10;Description automatically generated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659856" y="377300"/>
            <a:ext cx="914363" cy="91369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11</xdr:col>
      <xdr:colOff>66675</xdr:colOff>
      <xdr:row>1</xdr:row>
      <xdr:rowOff>200025</xdr:rowOff>
    </xdr:from>
    <xdr:to>
      <xdr:col>12</xdr:col>
      <xdr:colOff>304800</xdr:colOff>
      <xdr:row>4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44350" y="609600"/>
          <a:ext cx="1238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"/>
  <sheetViews>
    <sheetView zoomScalePageLayoutView="0" workbookViewId="0" topLeftCell="A1">
      <selection activeCell="N19" sqref="N19"/>
    </sheetView>
  </sheetViews>
  <sheetFormatPr defaultColWidth="9.140625" defaultRowHeight="15"/>
  <cols>
    <col min="2" max="2" width="31.140625" style="0" customWidth="1"/>
    <col min="3" max="3" width="13.28125" style="0" customWidth="1"/>
    <col min="4" max="4" width="13.421875" style="0" customWidth="1"/>
    <col min="5" max="5" width="2.57421875" style="0" customWidth="1"/>
    <col min="6" max="6" width="11.7109375" style="0" customWidth="1"/>
    <col min="7" max="7" width="12.8515625" style="0" customWidth="1"/>
    <col min="8" max="8" width="14.57421875" style="0" customWidth="1"/>
  </cols>
  <sheetData>
    <row r="1" spans="2:8" ht="14.25">
      <c r="B1" s="86" t="s">
        <v>63</v>
      </c>
      <c r="C1" s="87"/>
      <c r="D1" s="87"/>
      <c r="E1" s="87"/>
      <c r="F1" s="87"/>
      <c r="G1" s="87"/>
      <c r="H1" s="88"/>
    </row>
    <row r="2" spans="2:8" ht="14.25">
      <c r="B2" s="17"/>
      <c r="C2" s="9"/>
      <c r="D2" s="9"/>
      <c r="E2" s="9"/>
      <c r="F2" s="9"/>
      <c r="G2" s="9"/>
      <c r="H2" s="89"/>
    </row>
    <row r="3" spans="2:8" ht="14.25">
      <c r="B3" s="17" t="s">
        <v>64</v>
      </c>
      <c r="C3" s="114" t="s">
        <v>78</v>
      </c>
      <c r="D3" s="9"/>
      <c r="E3" s="9"/>
      <c r="F3" s="44" t="s">
        <v>79</v>
      </c>
      <c r="G3" s="115" t="s">
        <v>87</v>
      </c>
      <c r="H3" s="89"/>
    </row>
    <row r="4" spans="2:8" ht="14.25">
      <c r="B4" s="17"/>
      <c r="C4" s="9"/>
      <c r="D4" s="9"/>
      <c r="E4" s="9"/>
      <c r="F4" s="44" t="s">
        <v>80</v>
      </c>
      <c r="G4" s="116">
        <v>44013</v>
      </c>
      <c r="H4" s="89"/>
    </row>
    <row r="5" spans="2:8" ht="14.25">
      <c r="B5" s="17"/>
      <c r="C5" s="9"/>
      <c r="D5" s="9"/>
      <c r="E5" s="9"/>
      <c r="F5" s="9"/>
      <c r="G5" s="119" t="s">
        <v>93</v>
      </c>
      <c r="H5" s="89"/>
    </row>
    <row r="6" spans="2:8" ht="42" customHeight="1">
      <c r="B6" s="98"/>
      <c r="C6" s="99" t="s">
        <v>69</v>
      </c>
      <c r="D6" s="99" t="s">
        <v>70</v>
      </c>
      <c r="E6" s="99"/>
      <c r="F6" s="99" t="s">
        <v>71</v>
      </c>
      <c r="G6" s="99" t="s">
        <v>74</v>
      </c>
      <c r="H6" s="100" t="s">
        <v>75</v>
      </c>
    </row>
    <row r="7" spans="2:8" ht="14.25">
      <c r="B7" s="17" t="s">
        <v>66</v>
      </c>
      <c r="C7" s="90">
        <f>'Last Year Actual'!O6</f>
        <v>1720015</v>
      </c>
      <c r="D7" s="90">
        <f>'Current Year Budget'!C6</f>
        <v>1430500</v>
      </c>
      <c r="E7" s="90"/>
      <c r="F7" s="90">
        <f>'Actuals and Projection'!C6</f>
        <v>1063834.4074032512</v>
      </c>
      <c r="G7" s="9"/>
      <c r="H7" s="101">
        <f>'Actuals and Projection'!M7-'Actuals and Projection'!C7</f>
        <v>283100</v>
      </c>
    </row>
    <row r="8" spans="2:8" ht="14.25">
      <c r="B8" s="17" t="s">
        <v>65</v>
      </c>
      <c r="C8" s="90">
        <f>'Last Year Actual'!C17</f>
        <v>7</v>
      </c>
      <c r="D8" s="90">
        <f>'Current Year Budget'!C17</f>
        <v>200500</v>
      </c>
      <c r="E8" s="90"/>
      <c r="F8" s="90">
        <f>'Actuals and Projection'!C7</f>
        <v>863334.4074032512</v>
      </c>
      <c r="G8" s="9"/>
      <c r="H8" s="101">
        <f>'Actuals and Projection'!M17-'Actuals and Projection'!C17</f>
        <v>40000</v>
      </c>
    </row>
    <row r="9" spans="2:8" ht="14.25">
      <c r="B9" s="91" t="s">
        <v>67</v>
      </c>
      <c r="C9" s="84">
        <f>SUM(C7:C8)</f>
        <v>1720022</v>
      </c>
      <c r="D9" s="84">
        <f>SUM(D7:D8)</f>
        <v>1631000</v>
      </c>
      <c r="E9" s="84"/>
      <c r="F9" s="84">
        <f>SUM(F7:F8)</f>
        <v>1927168.8148065023</v>
      </c>
      <c r="G9" s="83"/>
      <c r="H9" s="102"/>
    </row>
    <row r="10" spans="2:8" ht="14.25">
      <c r="B10" s="17"/>
      <c r="C10" s="90"/>
      <c r="D10" s="90"/>
      <c r="E10" s="90"/>
      <c r="F10" s="90"/>
      <c r="G10" s="9"/>
      <c r="H10" s="101"/>
    </row>
    <row r="11" spans="2:8" ht="14.25">
      <c r="B11" s="17" t="s">
        <v>68</v>
      </c>
      <c r="C11" s="90">
        <f>'Last Year Actual'!O27</f>
        <v>825001</v>
      </c>
      <c r="D11" s="90">
        <f>'Current Year Budget'!C27</f>
        <v>841501.02</v>
      </c>
      <c r="E11" s="90"/>
      <c r="F11" s="90">
        <f>'Actuals and Projection'!C27</f>
        <v>535501.02</v>
      </c>
      <c r="G11" s="9"/>
      <c r="H11" s="101">
        <f>'Actuals and Projection'!M27-'Actuals and Projection'!C27</f>
        <v>275000</v>
      </c>
    </row>
    <row r="12" spans="2:8" ht="14.25">
      <c r="B12" s="17" t="s">
        <v>34</v>
      </c>
      <c r="C12" s="90">
        <f>'Last Year Actual'!O26-'Last Year Actual'!O27</f>
        <v>728511</v>
      </c>
      <c r="D12" s="90">
        <f>'Current Year Budget'!P26-'Current Year Budget'!P27</f>
        <v>727501.02</v>
      </c>
      <c r="E12" s="90"/>
      <c r="F12" s="90">
        <f>'Actuals and Projection'!C26-'Actuals and Projection'!C27</f>
        <v>373868.0777243257</v>
      </c>
      <c r="G12" s="9"/>
      <c r="H12" s="101">
        <f>('Actuals and Projection'!M26-'Actuals and Projection'!C26)-('Actuals and Projection'!M27-'Actuals and Projection'!C27)</f>
        <v>106199.00000000023</v>
      </c>
    </row>
    <row r="13" spans="2:8" ht="14.25">
      <c r="B13" s="118" t="s">
        <v>92</v>
      </c>
      <c r="C13" s="95">
        <f>SUM(C11:C12)</f>
        <v>1553512</v>
      </c>
      <c r="D13" s="95">
        <f>SUM(D11:D12)</f>
        <v>1569002.04</v>
      </c>
      <c r="E13" s="95"/>
      <c r="F13" s="95">
        <f>SUM(F11:F12)</f>
        <v>909369.0977243257</v>
      </c>
      <c r="G13" s="85"/>
      <c r="H13" s="103">
        <f>SUM(H11:H12)</f>
        <v>381199.00000000023</v>
      </c>
    </row>
    <row r="14" spans="2:8" ht="14.25">
      <c r="B14" s="17"/>
      <c r="C14" s="9"/>
      <c r="D14" s="9"/>
      <c r="E14" s="9"/>
      <c r="F14" s="9"/>
      <c r="G14" s="9"/>
      <c r="H14" s="101"/>
    </row>
    <row r="15" spans="2:8" ht="14.25">
      <c r="B15" s="96" t="s">
        <v>44</v>
      </c>
      <c r="C15" s="104">
        <f>C9-C13</f>
        <v>166510</v>
      </c>
      <c r="D15" s="104">
        <f>D9-D13</f>
        <v>61997.95999999996</v>
      </c>
      <c r="E15" s="97"/>
      <c r="F15" s="104">
        <f>F9-F13</f>
        <v>1017799.7170821766</v>
      </c>
      <c r="G15" s="104">
        <f>G9-G13</f>
        <v>0</v>
      </c>
      <c r="H15" s="105">
        <f>H9-H13</f>
        <v>-381199.00000000023</v>
      </c>
    </row>
    <row r="16" spans="2:8" ht="14.25">
      <c r="B16" s="17"/>
      <c r="C16" s="9"/>
      <c r="D16" s="9"/>
      <c r="E16" s="9"/>
      <c r="F16" s="9"/>
      <c r="G16" s="9"/>
      <c r="H16" s="89"/>
    </row>
    <row r="17" spans="2:8" ht="14.25">
      <c r="B17" s="112" t="s">
        <v>86</v>
      </c>
      <c r="C17" s="9"/>
      <c r="D17" s="9"/>
      <c r="E17" s="9"/>
      <c r="F17" s="113">
        <f>'Cash Flow Projection'!D5</f>
        <v>156000</v>
      </c>
      <c r="G17" s="9"/>
      <c r="H17" s="89"/>
    </row>
    <row r="18" spans="2:8" ht="14.25">
      <c r="B18" s="17" t="s">
        <v>72</v>
      </c>
      <c r="C18" s="9"/>
      <c r="D18" s="9"/>
      <c r="E18" s="9"/>
      <c r="F18" s="90">
        <f>'Cash Flow Projection'!L18</f>
        <v>97901</v>
      </c>
      <c r="G18" s="9"/>
      <c r="H18" s="89"/>
    </row>
    <row r="19" spans="2:8" ht="14.25">
      <c r="B19" s="17" t="s">
        <v>73</v>
      </c>
      <c r="C19" s="9"/>
      <c r="D19" s="9"/>
      <c r="E19" s="9"/>
      <c r="F19" s="90">
        <f>F18-F17</f>
        <v>-58099</v>
      </c>
      <c r="G19" s="9"/>
      <c r="H19" s="89"/>
    </row>
    <row r="20" spans="2:8" ht="14.25">
      <c r="B20" s="112" t="s">
        <v>91</v>
      </c>
      <c r="C20" s="9"/>
      <c r="D20" s="9"/>
      <c r="E20" s="9"/>
      <c r="F20" s="92">
        <f>'Cash Flow Projection'!L19</f>
        <v>2.311414772861419</v>
      </c>
      <c r="G20" s="9"/>
      <c r="H20" s="89"/>
    </row>
    <row r="21" spans="2:8" ht="15" thickBot="1">
      <c r="B21" s="54"/>
      <c r="C21" s="93"/>
      <c r="D21" s="93"/>
      <c r="E21" s="93"/>
      <c r="F21" s="93"/>
      <c r="G21" s="93"/>
      <c r="H21" s="94"/>
    </row>
    <row r="24" ht="15">
      <c r="F24" t="s">
        <v>76</v>
      </c>
    </row>
    <row r="26" ht="15">
      <c r="F26" t="s">
        <v>82</v>
      </c>
    </row>
  </sheetData>
  <sheetProtection/>
  <printOptions horizontalCentered="1" verticalCentered="1"/>
  <pageMargins left="0.7" right="0.7" top="0.75" bottom="0.75" header="0.3" footer="0.3"/>
  <pageSetup fitToHeight="1" fitToWidth="1"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"/>
  <sheetViews>
    <sheetView showGridLines="0" zoomScale="75" zoomScaleNormal="75" zoomScalePageLayoutView="0" workbookViewId="0" topLeftCell="A22">
      <selection activeCell="A27" sqref="A27"/>
    </sheetView>
  </sheetViews>
  <sheetFormatPr defaultColWidth="16.28125" defaultRowHeight="12.75" customHeight="1"/>
  <cols>
    <col min="1" max="1" width="1.7109375" style="6" customWidth="1"/>
    <col min="2" max="2" width="31.7109375" style="6" customWidth="1"/>
    <col min="3" max="12" width="15.00390625" style="6" customWidth="1"/>
    <col min="13" max="13" width="16.421875" style="6" customWidth="1"/>
    <col min="14" max="14" width="15.00390625" style="6" customWidth="1"/>
    <col min="15" max="15" width="16.00390625" style="6" customWidth="1"/>
    <col min="16" max="254" width="16.421875" style="6" customWidth="1"/>
    <col min="255" max="16384" width="16.28125" style="9" customWidth="1"/>
  </cols>
  <sheetData>
    <row r="1" spans="2:13" ht="45" customHeight="1">
      <c r="B1" s="47" t="s">
        <v>47</v>
      </c>
      <c r="M1" s="49" t="s">
        <v>48</v>
      </c>
    </row>
    <row r="2" spans="1:254" s="8" customFormat="1" ht="16.5" customHeight="1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5"/>
      <c r="P2" s="108" t="s">
        <v>83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="4" customFormat="1" ht="10.5" customHeight="1">
      <c r="B3" s="25" t="s">
        <v>85</v>
      </c>
    </row>
    <row r="4" spans="1:15" s="4" customFormat="1" ht="19.5" customHeight="1">
      <c r="A4" s="22"/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4" t="s">
        <v>35</v>
      </c>
    </row>
    <row r="5" spans="1:254" ht="5.25" customHeight="1" thickBot="1">
      <c r="A5" s="10"/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9.5" customHeight="1">
      <c r="A6" s="15" t="s">
        <v>13</v>
      </c>
      <c r="B6" s="16"/>
      <c r="C6" s="32">
        <f aca="true" t="shared" si="0" ref="C6:O6">C7+C17</f>
        <v>15</v>
      </c>
      <c r="D6" s="32">
        <f t="shared" si="0"/>
        <v>250000</v>
      </c>
      <c r="E6" s="32">
        <f t="shared" si="0"/>
        <v>500000</v>
      </c>
      <c r="F6" s="32">
        <f t="shared" si="0"/>
        <v>0</v>
      </c>
      <c r="G6" s="32">
        <f t="shared" si="0"/>
        <v>250000</v>
      </c>
      <c r="H6" s="32">
        <f t="shared" si="0"/>
        <v>25000</v>
      </c>
      <c r="I6" s="32">
        <f t="shared" si="0"/>
        <v>0</v>
      </c>
      <c r="J6" s="32">
        <f t="shared" si="0"/>
        <v>200000</v>
      </c>
      <c r="K6" s="32">
        <f t="shared" si="0"/>
        <v>75000</v>
      </c>
      <c r="L6" s="32">
        <f t="shared" si="0"/>
        <v>150000</v>
      </c>
      <c r="M6" s="33">
        <f t="shared" si="0"/>
        <v>270000</v>
      </c>
      <c r="N6" s="32">
        <f t="shared" si="0"/>
        <v>0</v>
      </c>
      <c r="O6" s="34">
        <f t="shared" si="0"/>
        <v>1720015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15" s="4" customFormat="1" ht="19.5" customHeight="1">
      <c r="A7" s="40"/>
      <c r="B7" s="26" t="s">
        <v>14</v>
      </c>
      <c r="C7" s="7">
        <f aca="true" t="shared" si="1" ref="C7:O7">SUM(C8:C15)</f>
        <v>8</v>
      </c>
      <c r="D7" s="7">
        <f t="shared" si="1"/>
        <v>250000</v>
      </c>
      <c r="E7" s="7">
        <f t="shared" si="1"/>
        <v>500000</v>
      </c>
      <c r="F7" s="7">
        <f t="shared" si="1"/>
        <v>0</v>
      </c>
      <c r="G7" s="7">
        <f t="shared" si="1"/>
        <v>250000</v>
      </c>
      <c r="H7" s="7">
        <f t="shared" si="1"/>
        <v>25000</v>
      </c>
      <c r="I7" s="7">
        <f t="shared" si="1"/>
        <v>0</v>
      </c>
      <c r="J7" s="7">
        <f t="shared" si="1"/>
        <v>200000</v>
      </c>
      <c r="K7" s="7">
        <f t="shared" si="1"/>
        <v>75000</v>
      </c>
      <c r="L7" s="7">
        <f t="shared" si="1"/>
        <v>150000</v>
      </c>
      <c r="M7" s="7">
        <f t="shared" si="1"/>
        <v>200000</v>
      </c>
      <c r="N7" s="7">
        <f t="shared" si="1"/>
        <v>0</v>
      </c>
      <c r="O7" s="35">
        <f t="shared" si="1"/>
        <v>1650008</v>
      </c>
    </row>
    <row r="8" spans="1:254" ht="19.5" customHeight="1">
      <c r="A8" s="41"/>
      <c r="B8" s="27" t="s">
        <v>15</v>
      </c>
      <c r="C8" s="20">
        <v>1</v>
      </c>
      <c r="D8" s="20">
        <v>250000</v>
      </c>
      <c r="E8" s="20"/>
      <c r="F8" s="20"/>
      <c r="G8" s="20">
        <v>250000</v>
      </c>
      <c r="H8" s="20"/>
      <c r="I8" s="20"/>
      <c r="J8" s="20">
        <v>200000</v>
      </c>
      <c r="K8" s="20"/>
      <c r="L8" s="20"/>
      <c r="M8" s="20">
        <v>200000</v>
      </c>
      <c r="N8" s="20"/>
      <c r="O8" s="36">
        <f aca="true" t="shared" si="2" ref="O8:O15">SUM(C8:N8)</f>
        <v>900001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9.5" customHeight="1">
      <c r="A9" s="41"/>
      <c r="B9" s="27" t="s">
        <v>16</v>
      </c>
      <c r="C9" s="20">
        <v>1</v>
      </c>
      <c r="D9" s="20"/>
      <c r="E9" s="20">
        <v>500000</v>
      </c>
      <c r="F9" s="20"/>
      <c r="G9" s="20"/>
      <c r="H9" s="20"/>
      <c r="I9" s="20"/>
      <c r="J9" s="20"/>
      <c r="K9" s="20"/>
      <c r="L9" s="20"/>
      <c r="M9" s="20"/>
      <c r="N9" s="20"/>
      <c r="O9" s="36">
        <f t="shared" si="2"/>
        <v>500001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9.5" customHeight="1">
      <c r="A10" s="41"/>
      <c r="B10" s="27" t="s">
        <v>17</v>
      </c>
      <c r="C10" s="20">
        <v>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6">
        <f t="shared" si="2"/>
        <v>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9.5" customHeight="1">
      <c r="A11" s="17"/>
      <c r="B11" s="12" t="s">
        <v>18</v>
      </c>
      <c r="C11" s="20">
        <v>1</v>
      </c>
      <c r="D11" s="20"/>
      <c r="E11" s="20"/>
      <c r="F11" s="20"/>
      <c r="G11" s="20"/>
      <c r="H11" s="20">
        <v>25000</v>
      </c>
      <c r="I11" s="20"/>
      <c r="J11" s="20"/>
      <c r="K11" s="20"/>
      <c r="L11" s="20"/>
      <c r="M11" s="20"/>
      <c r="N11" s="20"/>
      <c r="O11" s="36">
        <f t="shared" si="2"/>
        <v>25001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9.5" customHeight="1">
      <c r="A12" s="42"/>
      <c r="B12" s="28" t="s">
        <v>19</v>
      </c>
      <c r="C12" s="20">
        <v>1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6">
        <f t="shared" si="2"/>
        <v>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9.5" customHeight="1">
      <c r="A13" s="42"/>
      <c r="B13" s="28" t="s">
        <v>20</v>
      </c>
      <c r="C13" s="20">
        <v>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36">
        <f t="shared" si="2"/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9.5" customHeight="1">
      <c r="A14" s="43"/>
      <c r="B14" s="29" t="s">
        <v>21</v>
      </c>
      <c r="C14" s="20">
        <v>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6">
        <f t="shared" si="2"/>
        <v>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9.5" customHeight="1">
      <c r="A15" s="41"/>
      <c r="B15" s="30" t="s">
        <v>43</v>
      </c>
      <c r="C15" s="20">
        <v>1</v>
      </c>
      <c r="D15" s="20"/>
      <c r="E15" s="20"/>
      <c r="F15" s="20"/>
      <c r="G15" s="20"/>
      <c r="H15" s="20"/>
      <c r="I15" s="20"/>
      <c r="J15" s="20"/>
      <c r="K15" s="20">
        <v>75000</v>
      </c>
      <c r="L15" s="20">
        <v>150000</v>
      </c>
      <c r="M15" s="20"/>
      <c r="N15" s="20"/>
      <c r="O15" s="36">
        <f t="shared" si="2"/>
        <v>225001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3.75" customHeight="1">
      <c r="A16" s="17"/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15" s="4" customFormat="1" ht="19.5" customHeight="1">
      <c r="A17" s="31"/>
      <c r="B17" s="11" t="s">
        <v>22</v>
      </c>
      <c r="C17" s="7">
        <f aca="true" t="shared" si="3" ref="C17:O17">SUM(C18:C24)</f>
        <v>7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>
        <f t="shared" si="3"/>
        <v>0</v>
      </c>
      <c r="K17" s="7">
        <f t="shared" si="3"/>
        <v>0</v>
      </c>
      <c r="L17" s="7">
        <f t="shared" si="3"/>
        <v>0</v>
      </c>
      <c r="M17" s="7">
        <f t="shared" si="3"/>
        <v>70000</v>
      </c>
      <c r="N17" s="7">
        <f t="shared" si="3"/>
        <v>0</v>
      </c>
      <c r="O17" s="35">
        <f t="shared" si="3"/>
        <v>70007</v>
      </c>
    </row>
    <row r="18" spans="1:254" ht="19.5" customHeight="1">
      <c r="A18" s="41"/>
      <c r="B18" s="27" t="s">
        <v>23</v>
      </c>
      <c r="C18" s="20">
        <v>1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6">
        <f aca="true" t="shared" si="4" ref="O18:O24">SUM(C18:N18)</f>
        <v>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9.5" customHeight="1">
      <c r="A19" s="17"/>
      <c r="B19" s="12" t="s">
        <v>24</v>
      </c>
      <c r="C19" s="20">
        <v>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6">
        <f t="shared" si="4"/>
        <v>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9.5" customHeight="1">
      <c r="A20" s="41"/>
      <c r="B20" s="27" t="s">
        <v>25</v>
      </c>
      <c r="C20" s="20">
        <v>1</v>
      </c>
      <c r="D20" s="20"/>
      <c r="E20" s="20"/>
      <c r="F20" s="20"/>
      <c r="G20" s="20"/>
      <c r="H20" s="20"/>
      <c r="I20" s="20"/>
      <c r="J20" s="20"/>
      <c r="K20" s="20"/>
      <c r="L20" s="20"/>
      <c r="M20" s="20">
        <v>70000</v>
      </c>
      <c r="N20" s="20"/>
      <c r="O20" s="36">
        <f t="shared" si="4"/>
        <v>70001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9.5" customHeight="1">
      <c r="A21" s="17"/>
      <c r="B21" s="13" t="s">
        <v>41</v>
      </c>
      <c r="C21" s="20">
        <v>1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36">
        <f t="shared" si="4"/>
        <v>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9.5" customHeight="1">
      <c r="A22" s="41"/>
      <c r="B22" s="30" t="s">
        <v>42</v>
      </c>
      <c r="C22" s="20">
        <v>1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36">
        <f t="shared" si="4"/>
        <v>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9.5" customHeight="1">
      <c r="A23" s="41"/>
      <c r="B23" s="27" t="s">
        <v>26</v>
      </c>
      <c r="C23" s="20">
        <v>1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36">
        <f t="shared" si="4"/>
        <v>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9.5" customHeight="1" thickBot="1">
      <c r="A24" s="18"/>
      <c r="B24" s="19" t="s">
        <v>27</v>
      </c>
      <c r="C24" s="38">
        <v>1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>
        <f t="shared" si="4"/>
        <v>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1.25" customHeight="1" thickBot="1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9.5" customHeight="1">
      <c r="A26" s="50" t="s">
        <v>88</v>
      </c>
      <c r="B26" s="61"/>
      <c r="C26" s="51">
        <f aca="true" t="shared" si="5" ref="C26:O26">SUM(C27:C38)</f>
        <v>12</v>
      </c>
      <c r="D26" s="51">
        <f t="shared" si="5"/>
        <v>128500</v>
      </c>
      <c r="E26" s="51">
        <f t="shared" si="5"/>
        <v>128500</v>
      </c>
      <c r="F26" s="51">
        <f t="shared" si="5"/>
        <v>128500</v>
      </c>
      <c r="G26" s="51">
        <f t="shared" si="5"/>
        <v>128500</v>
      </c>
      <c r="H26" s="51">
        <f t="shared" si="5"/>
        <v>128500</v>
      </c>
      <c r="I26" s="51">
        <f t="shared" si="5"/>
        <v>128500</v>
      </c>
      <c r="J26" s="51">
        <f t="shared" si="5"/>
        <v>128500</v>
      </c>
      <c r="K26" s="51">
        <f t="shared" si="5"/>
        <v>193500</v>
      </c>
      <c r="L26" s="51">
        <f t="shared" si="5"/>
        <v>203500</v>
      </c>
      <c r="M26" s="51">
        <f t="shared" si="5"/>
        <v>128500</v>
      </c>
      <c r="N26" s="51">
        <f t="shared" si="5"/>
        <v>128500</v>
      </c>
      <c r="O26" s="52">
        <f t="shared" si="5"/>
        <v>1553512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9.5" customHeight="1">
      <c r="A27" s="41"/>
      <c r="B27" s="27" t="s">
        <v>28</v>
      </c>
      <c r="C27" s="3">
        <v>1</v>
      </c>
      <c r="D27" s="3">
        <v>75000</v>
      </c>
      <c r="E27" s="3">
        <v>75000</v>
      </c>
      <c r="F27" s="3">
        <v>75000</v>
      </c>
      <c r="G27" s="3">
        <v>75000</v>
      </c>
      <c r="H27" s="3">
        <v>75000</v>
      </c>
      <c r="I27" s="3">
        <v>75000</v>
      </c>
      <c r="J27" s="3">
        <v>75000</v>
      </c>
      <c r="K27" s="3">
        <v>75000</v>
      </c>
      <c r="L27" s="3">
        <v>75000</v>
      </c>
      <c r="M27" s="3">
        <v>75000</v>
      </c>
      <c r="N27" s="3">
        <v>75000</v>
      </c>
      <c r="O27" s="53">
        <f aca="true" t="shared" si="6" ref="O27:O38">SUM(C27:N27)</f>
        <v>825001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9.5" customHeight="1">
      <c r="A28" s="41"/>
      <c r="B28" s="27" t="s">
        <v>29</v>
      </c>
      <c r="C28" s="3">
        <v>1</v>
      </c>
      <c r="D28" s="3">
        <v>25000</v>
      </c>
      <c r="E28" s="3">
        <v>25000</v>
      </c>
      <c r="F28" s="3">
        <v>25000</v>
      </c>
      <c r="G28" s="3">
        <v>25000</v>
      </c>
      <c r="H28" s="3">
        <v>25000</v>
      </c>
      <c r="I28" s="3">
        <v>25000</v>
      </c>
      <c r="J28" s="3">
        <v>25000</v>
      </c>
      <c r="K28" s="3">
        <v>25000</v>
      </c>
      <c r="L28" s="3">
        <v>25000</v>
      </c>
      <c r="M28" s="3">
        <v>25000</v>
      </c>
      <c r="N28" s="3">
        <v>25000</v>
      </c>
      <c r="O28" s="53">
        <f t="shared" si="6"/>
        <v>275001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9.5" customHeight="1">
      <c r="A29" s="41"/>
      <c r="B29" s="27" t="s">
        <v>30</v>
      </c>
      <c r="C29" s="3">
        <v>1</v>
      </c>
      <c r="D29" s="3">
        <v>15000</v>
      </c>
      <c r="E29" s="3">
        <v>15000</v>
      </c>
      <c r="F29" s="3">
        <v>15000</v>
      </c>
      <c r="G29" s="3">
        <v>15000</v>
      </c>
      <c r="H29" s="3">
        <v>15000</v>
      </c>
      <c r="I29" s="3">
        <v>15000</v>
      </c>
      <c r="J29" s="3">
        <v>15000</v>
      </c>
      <c r="K29" s="3">
        <v>15000</v>
      </c>
      <c r="L29" s="3">
        <v>15000</v>
      </c>
      <c r="M29" s="3">
        <v>15000</v>
      </c>
      <c r="N29" s="3">
        <v>15000</v>
      </c>
      <c r="O29" s="53">
        <f t="shared" si="6"/>
        <v>165001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9.5" customHeight="1">
      <c r="A30" s="41"/>
      <c r="B30" s="27" t="s">
        <v>31</v>
      </c>
      <c r="C30" s="3">
        <v>1</v>
      </c>
      <c r="D30" s="3">
        <v>3500</v>
      </c>
      <c r="E30" s="3">
        <v>3500</v>
      </c>
      <c r="F30" s="3">
        <v>3500</v>
      </c>
      <c r="G30" s="3">
        <v>3500</v>
      </c>
      <c r="H30" s="3">
        <v>3500</v>
      </c>
      <c r="I30" s="3">
        <v>3500</v>
      </c>
      <c r="J30" s="3">
        <v>3500</v>
      </c>
      <c r="K30" s="3">
        <v>3500</v>
      </c>
      <c r="L30" s="3">
        <v>3500</v>
      </c>
      <c r="M30" s="3">
        <v>3500</v>
      </c>
      <c r="N30" s="3">
        <v>3500</v>
      </c>
      <c r="O30" s="53">
        <f t="shared" si="6"/>
        <v>38501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9.5" customHeight="1">
      <c r="A31" s="41"/>
      <c r="B31" s="30" t="s">
        <v>38</v>
      </c>
      <c r="C31" s="3">
        <v>1</v>
      </c>
      <c r="D31" s="3"/>
      <c r="E31" s="3"/>
      <c r="F31" s="3"/>
      <c r="G31" s="3"/>
      <c r="H31" s="3"/>
      <c r="I31" s="3"/>
      <c r="J31" s="3"/>
      <c r="K31" s="3"/>
      <c r="L31" s="3">
        <v>75000</v>
      </c>
      <c r="M31" s="3"/>
      <c r="N31" s="3"/>
      <c r="O31" s="53">
        <f t="shared" si="6"/>
        <v>75001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9.5" customHeight="1">
      <c r="A32" s="41"/>
      <c r="B32" s="30" t="s">
        <v>39</v>
      </c>
      <c r="C32" s="3">
        <v>1</v>
      </c>
      <c r="D32" s="3">
        <v>3500</v>
      </c>
      <c r="E32" s="3">
        <v>3500</v>
      </c>
      <c r="F32" s="3">
        <v>3500</v>
      </c>
      <c r="G32" s="3">
        <v>3500</v>
      </c>
      <c r="H32" s="3">
        <v>3500</v>
      </c>
      <c r="I32" s="3">
        <v>3500</v>
      </c>
      <c r="J32" s="3">
        <v>3500</v>
      </c>
      <c r="K32" s="3">
        <v>3500</v>
      </c>
      <c r="L32" s="3">
        <v>3500</v>
      </c>
      <c r="M32" s="3">
        <v>3500</v>
      </c>
      <c r="N32" s="3">
        <v>3500</v>
      </c>
      <c r="O32" s="53">
        <f t="shared" si="6"/>
        <v>38501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9.5" customHeight="1">
      <c r="A33" s="41"/>
      <c r="B33" s="30" t="s">
        <v>45</v>
      </c>
      <c r="C33" s="3">
        <v>1</v>
      </c>
      <c r="D33" s="3"/>
      <c r="E33" s="3"/>
      <c r="F33" s="3"/>
      <c r="G33" s="3"/>
      <c r="H33" s="3"/>
      <c r="I33" s="3"/>
      <c r="J33" s="3"/>
      <c r="K33" s="3">
        <v>65000</v>
      </c>
      <c r="L33" s="3"/>
      <c r="M33" s="3"/>
      <c r="N33" s="3"/>
      <c r="O33" s="53">
        <f t="shared" si="6"/>
        <v>65001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9.5" customHeight="1">
      <c r="A34" s="41"/>
      <c r="B34" s="30" t="s">
        <v>36</v>
      </c>
      <c r="C34" s="3">
        <v>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3">
        <f t="shared" si="6"/>
        <v>1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9.5" customHeight="1">
      <c r="A35" s="41"/>
      <c r="B35" s="27" t="s">
        <v>32</v>
      </c>
      <c r="C35" s="3">
        <v>1</v>
      </c>
      <c r="D35" s="3">
        <v>6500</v>
      </c>
      <c r="E35" s="3">
        <v>6500</v>
      </c>
      <c r="F35" s="3">
        <v>6500</v>
      </c>
      <c r="G35" s="3">
        <v>6500</v>
      </c>
      <c r="H35" s="3">
        <v>6500</v>
      </c>
      <c r="I35" s="3">
        <v>6500</v>
      </c>
      <c r="J35" s="3">
        <v>6500</v>
      </c>
      <c r="K35" s="3">
        <v>6500</v>
      </c>
      <c r="L35" s="3">
        <v>6500</v>
      </c>
      <c r="M35" s="3">
        <v>6500</v>
      </c>
      <c r="N35" s="3">
        <v>6500</v>
      </c>
      <c r="O35" s="53">
        <f t="shared" si="6"/>
        <v>71501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19.5" customHeight="1">
      <c r="A36" s="41"/>
      <c r="B36" s="27" t="s">
        <v>33</v>
      </c>
      <c r="C36" s="3">
        <v>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3">
        <f t="shared" si="6"/>
        <v>1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26.25" customHeight="1">
      <c r="A37" s="41"/>
      <c r="B37" s="62" t="s">
        <v>37</v>
      </c>
      <c r="C37" s="3">
        <v>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3">
        <f t="shared" si="6"/>
        <v>1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 thickBot="1">
      <c r="A38" s="54"/>
      <c r="B38" s="63" t="s">
        <v>34</v>
      </c>
      <c r="C38" s="55">
        <v>1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>
        <f t="shared" si="6"/>
        <v>1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ht="10.5" customHeight="1" thickBot="1"/>
    <row r="40" spans="1:15" ht="24" customHeight="1" thickBot="1">
      <c r="A40" s="60"/>
      <c r="B40" s="57" t="s">
        <v>44</v>
      </c>
      <c r="C40" s="58">
        <f aca="true" t="shared" si="7" ref="C40:O40">C6-C26</f>
        <v>3</v>
      </c>
      <c r="D40" s="58">
        <f t="shared" si="7"/>
        <v>121500</v>
      </c>
      <c r="E40" s="58">
        <f t="shared" si="7"/>
        <v>371500</v>
      </c>
      <c r="F40" s="58">
        <f t="shared" si="7"/>
        <v>-128500</v>
      </c>
      <c r="G40" s="58">
        <f t="shared" si="7"/>
        <v>121500</v>
      </c>
      <c r="H40" s="58">
        <f t="shared" si="7"/>
        <v>-103500</v>
      </c>
      <c r="I40" s="58">
        <f t="shared" si="7"/>
        <v>-128500</v>
      </c>
      <c r="J40" s="58">
        <f t="shared" si="7"/>
        <v>71500</v>
      </c>
      <c r="K40" s="58">
        <f t="shared" si="7"/>
        <v>-118500</v>
      </c>
      <c r="L40" s="58">
        <f t="shared" si="7"/>
        <v>-53500</v>
      </c>
      <c r="M40" s="58">
        <f t="shared" si="7"/>
        <v>141500</v>
      </c>
      <c r="N40" s="58">
        <f t="shared" si="7"/>
        <v>-128500</v>
      </c>
      <c r="O40" s="59">
        <f t="shared" si="7"/>
        <v>166503</v>
      </c>
    </row>
    <row r="41" ht="12.75" customHeight="1">
      <c r="B41" s="14" t="s">
        <v>40</v>
      </c>
    </row>
    <row r="43" ht="18" customHeight="1">
      <c r="B43" s="45" t="s">
        <v>46</v>
      </c>
    </row>
    <row r="44" ht="12.75" customHeight="1">
      <c r="B44" s="6" t="s">
        <v>77</v>
      </c>
    </row>
  </sheetData>
  <sheetProtection/>
  <mergeCells count="1">
    <mergeCell ref="A2:N2"/>
  </mergeCells>
  <printOptions/>
  <pageMargins left="0.5" right="0.5" top="0.5" bottom="0.5" header="0.25" footer="0.25"/>
  <pageSetup fitToHeight="1" fitToWidth="1" horizontalDpi="600" verticalDpi="600" orientation="landscape" scale="56" r:id="rId2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showGridLines="0" zoomScalePageLayoutView="0" workbookViewId="0" topLeftCell="A1">
      <selection activeCell="A27" sqref="A27"/>
    </sheetView>
  </sheetViews>
  <sheetFormatPr defaultColWidth="16.28125" defaultRowHeight="12.75" customHeight="1"/>
  <cols>
    <col min="1" max="1" width="1.7109375" style="6" customWidth="1"/>
    <col min="2" max="2" width="31.7109375" style="6" customWidth="1"/>
    <col min="3" max="3" width="16.140625" style="6" customWidth="1"/>
    <col min="4" max="15" width="15.00390625" style="6" customWidth="1"/>
    <col min="16" max="16" width="16.00390625" style="6" customWidth="1"/>
    <col min="17" max="255" width="16.421875" style="6" customWidth="1"/>
    <col min="256" max="16384" width="16.28125" style="9" customWidth="1"/>
  </cols>
  <sheetData>
    <row r="1" spans="2:14" ht="45" customHeight="1">
      <c r="B1" s="47" t="s">
        <v>47</v>
      </c>
      <c r="C1" s="48"/>
      <c r="N1" s="49" t="s">
        <v>48</v>
      </c>
    </row>
    <row r="2" spans="1:255" s="8" customFormat="1" ht="16.5" customHeight="1">
      <c r="A2" s="106" t="s">
        <v>49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9" t="s">
        <v>83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2:3" s="4" customFormat="1" ht="27" customHeight="1">
      <c r="B3" s="25" t="s">
        <v>50</v>
      </c>
      <c r="C3" s="21"/>
    </row>
    <row r="4" spans="1:16" s="4" customFormat="1" ht="19.5" customHeight="1">
      <c r="A4" s="22"/>
      <c r="C4" s="66" t="s">
        <v>51</v>
      </c>
      <c r="D4" s="65" t="str">
        <f>'Last Year Actual'!C4</f>
        <v>July</v>
      </c>
      <c r="E4" s="65" t="str">
        <f>'Last Year Actual'!D4</f>
        <v>Aug</v>
      </c>
      <c r="F4" s="65" t="str">
        <f>'Last Year Actual'!E4</f>
        <v>Sept</v>
      </c>
      <c r="G4" s="65" t="str">
        <f>'Last Year Actual'!F4</f>
        <v>Oct</v>
      </c>
      <c r="H4" s="65" t="str">
        <f>'Last Year Actual'!G4</f>
        <v>Nov</v>
      </c>
      <c r="I4" s="65" t="str">
        <f>'Last Year Actual'!H4</f>
        <v>Dec</v>
      </c>
      <c r="J4" s="65" t="str">
        <f>'Last Year Actual'!I4</f>
        <v>Jan</v>
      </c>
      <c r="K4" s="65" t="str">
        <f>'Last Year Actual'!J4</f>
        <v>Feb</v>
      </c>
      <c r="L4" s="65" t="str">
        <f>'Last Year Actual'!K4</f>
        <v>Mar</v>
      </c>
      <c r="M4" s="65" t="str">
        <f>'Last Year Actual'!L4</f>
        <v>Apr</v>
      </c>
      <c r="N4" s="65" t="str">
        <f>'Last Year Actual'!M4</f>
        <v>May</v>
      </c>
      <c r="O4" s="65" t="str">
        <f>'Last Year Actual'!N4</f>
        <v>June</v>
      </c>
      <c r="P4" s="24" t="s">
        <v>35</v>
      </c>
    </row>
    <row r="5" spans="1:255" ht="5.25" customHeight="1" thickBot="1">
      <c r="A5" s="10"/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9.5" customHeight="1">
      <c r="A6" s="15" t="s">
        <v>13</v>
      </c>
      <c r="B6" s="16"/>
      <c r="C6" s="32">
        <f>C7+C17</f>
        <v>1430500</v>
      </c>
      <c r="D6" s="32">
        <f aca="true" t="shared" si="0" ref="D6:P6">D7+D17</f>
        <v>300504.1721288492</v>
      </c>
      <c r="E6" s="32">
        <f t="shared" si="0"/>
        <v>208333.10185210907</v>
      </c>
      <c r="F6" s="32">
        <f t="shared" si="0"/>
        <v>124999.75000049999</v>
      </c>
      <c r="G6" s="32">
        <f t="shared" si="0"/>
        <v>0</v>
      </c>
      <c r="H6" s="32">
        <f t="shared" si="0"/>
        <v>208333.10185210907</v>
      </c>
      <c r="I6" s="32">
        <f t="shared" si="0"/>
        <v>54997.80008799648</v>
      </c>
      <c r="J6" s="32">
        <f t="shared" si="0"/>
        <v>0</v>
      </c>
      <c r="K6" s="32">
        <f t="shared" si="0"/>
        <v>166666.48148168725</v>
      </c>
      <c r="L6" s="32">
        <f t="shared" si="0"/>
        <v>66666.37037168724</v>
      </c>
      <c r="M6" s="32">
        <f t="shared" si="0"/>
        <v>133332.74074337448</v>
      </c>
      <c r="N6" s="33">
        <f t="shared" si="0"/>
        <v>166666.48148168725</v>
      </c>
      <c r="O6" s="32">
        <f t="shared" si="0"/>
        <v>0</v>
      </c>
      <c r="P6" s="34">
        <f t="shared" si="0"/>
        <v>1430500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16" s="4" customFormat="1" ht="19.5" customHeight="1">
      <c r="A7" s="40"/>
      <c r="B7" s="26" t="s">
        <v>14</v>
      </c>
      <c r="C7" s="7">
        <f>SUM(C8:C15)</f>
        <v>1230000</v>
      </c>
      <c r="D7" s="7">
        <f aca="true" t="shared" si="1" ref="D7:P7">SUM(D8:D15)</f>
        <v>100004.17212884923</v>
      </c>
      <c r="E7" s="7">
        <f t="shared" si="1"/>
        <v>208333.10185210907</v>
      </c>
      <c r="F7" s="7">
        <f t="shared" si="1"/>
        <v>124999.75000049999</v>
      </c>
      <c r="G7" s="7">
        <f t="shared" si="1"/>
        <v>0</v>
      </c>
      <c r="H7" s="7">
        <f t="shared" si="1"/>
        <v>208333.10185210907</v>
      </c>
      <c r="I7" s="7">
        <f t="shared" si="1"/>
        <v>54997.80008799648</v>
      </c>
      <c r="J7" s="7">
        <f t="shared" si="1"/>
        <v>0</v>
      </c>
      <c r="K7" s="7">
        <f t="shared" si="1"/>
        <v>166666.48148168725</v>
      </c>
      <c r="L7" s="7">
        <f t="shared" si="1"/>
        <v>66666.37037168724</v>
      </c>
      <c r="M7" s="7">
        <f t="shared" si="1"/>
        <v>133332.74074337448</v>
      </c>
      <c r="N7" s="7">
        <f t="shared" si="1"/>
        <v>166666.48148168725</v>
      </c>
      <c r="O7" s="7">
        <f t="shared" si="1"/>
        <v>0</v>
      </c>
      <c r="P7" s="35">
        <f t="shared" si="1"/>
        <v>1230000</v>
      </c>
    </row>
    <row r="8" spans="1:255" ht="19.5" customHeight="1">
      <c r="A8" s="41"/>
      <c r="B8" s="27" t="s">
        <v>15</v>
      </c>
      <c r="C8" s="20">
        <v>750000</v>
      </c>
      <c r="D8" s="64">
        <f>$C8*('Last Year Actual'!C8/'Last Year Actual'!$O8)</f>
        <v>0.8333324074084363</v>
      </c>
      <c r="E8" s="64">
        <f>$C8*('Last Year Actual'!D8/'Last Year Actual'!$O8)</f>
        <v>208333.10185210907</v>
      </c>
      <c r="F8" s="64">
        <f>$C8*('Last Year Actual'!E8/'Last Year Actual'!$O8)</f>
        <v>0</v>
      </c>
      <c r="G8" s="64">
        <f>$C8*('Last Year Actual'!F8/'Last Year Actual'!$O8)</f>
        <v>0</v>
      </c>
      <c r="H8" s="64">
        <f>$C8*('Last Year Actual'!G8/'Last Year Actual'!$O8)</f>
        <v>208333.10185210907</v>
      </c>
      <c r="I8" s="64">
        <f>$C8*('Last Year Actual'!H8/'Last Year Actual'!$O8)</f>
        <v>0</v>
      </c>
      <c r="J8" s="64">
        <f>$C8*('Last Year Actual'!I8/'Last Year Actual'!$O8)</f>
        <v>0</v>
      </c>
      <c r="K8" s="64">
        <f>$C8*('Last Year Actual'!J8/'Last Year Actual'!$O8)</f>
        <v>166666.48148168725</v>
      </c>
      <c r="L8" s="64">
        <f>$C8*('Last Year Actual'!K8/'Last Year Actual'!$O8)</f>
        <v>0</v>
      </c>
      <c r="M8" s="64">
        <f>$C8*('Last Year Actual'!L8/'Last Year Actual'!$O8)</f>
        <v>0</v>
      </c>
      <c r="N8" s="64">
        <f>$C8*('Last Year Actual'!M8/'Last Year Actual'!$O8)</f>
        <v>166666.48148168725</v>
      </c>
      <c r="O8" s="64">
        <f>$C8*('Last Year Actual'!N8/'Last Year Actual'!$O8)</f>
        <v>0</v>
      </c>
      <c r="P8" s="36">
        <f>SUM(D8:O8)</f>
        <v>750000.0000000001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9.5" customHeight="1">
      <c r="A9" s="41"/>
      <c r="B9" s="27" t="s">
        <v>16</v>
      </c>
      <c r="C9" s="20">
        <v>125000</v>
      </c>
      <c r="D9" s="64">
        <f>$C9*('Last Year Actual'!C9/'Last Year Actual'!$O9)</f>
        <v>0.249999500001</v>
      </c>
      <c r="E9" s="64">
        <f>$C9*('Last Year Actual'!D9/'Last Year Actual'!$O9)</f>
        <v>0</v>
      </c>
      <c r="F9" s="64">
        <f>$C9*('Last Year Actual'!E9/'Last Year Actual'!$O9)</f>
        <v>124999.75000049999</v>
      </c>
      <c r="G9" s="64">
        <f>$C9*('Last Year Actual'!F9/'Last Year Actual'!$O9)</f>
        <v>0</v>
      </c>
      <c r="H9" s="64">
        <f>$C9*('Last Year Actual'!G9/'Last Year Actual'!$O9)</f>
        <v>0</v>
      </c>
      <c r="I9" s="64">
        <f>$C9*('Last Year Actual'!H9/'Last Year Actual'!$O9)</f>
        <v>0</v>
      </c>
      <c r="J9" s="64">
        <f>$C9*('Last Year Actual'!I9/'Last Year Actual'!$O9)</f>
        <v>0</v>
      </c>
      <c r="K9" s="64">
        <f>$C9*('Last Year Actual'!J9/'Last Year Actual'!$O9)</f>
        <v>0</v>
      </c>
      <c r="L9" s="64">
        <f>$C9*('Last Year Actual'!K9/'Last Year Actual'!$O9)</f>
        <v>0</v>
      </c>
      <c r="M9" s="64">
        <f>$C9*('Last Year Actual'!L9/'Last Year Actual'!$O9)</f>
        <v>0</v>
      </c>
      <c r="N9" s="64">
        <f>$C9*('Last Year Actual'!M9/'Last Year Actual'!$O9)</f>
        <v>0</v>
      </c>
      <c r="O9" s="64">
        <f>$C9*('Last Year Actual'!N9/'Last Year Actual'!$O9)</f>
        <v>0</v>
      </c>
      <c r="P9" s="36">
        <f aca="true" t="shared" si="2" ref="P9:P15">SUM(D9:O9)</f>
        <v>124999.99999999999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9.5" customHeight="1">
      <c r="A10" s="41"/>
      <c r="B10" s="27" t="s">
        <v>17</v>
      </c>
      <c r="C10" s="20">
        <v>0</v>
      </c>
      <c r="D10" s="64">
        <f>$C10*('Last Year Actual'!C10/'Last Year Actual'!$O10)</f>
        <v>0</v>
      </c>
      <c r="E10" s="64">
        <f>$C10*('Last Year Actual'!D10/'Last Year Actual'!$O10)</f>
        <v>0</v>
      </c>
      <c r="F10" s="64">
        <f>$C10*('Last Year Actual'!E10/'Last Year Actual'!$O10)</f>
        <v>0</v>
      </c>
      <c r="G10" s="64">
        <f>$C10*('Last Year Actual'!F10/'Last Year Actual'!$O10)</f>
        <v>0</v>
      </c>
      <c r="H10" s="64">
        <f>$C10*('Last Year Actual'!G10/'Last Year Actual'!$O10)</f>
        <v>0</v>
      </c>
      <c r="I10" s="64">
        <f>$C10*('Last Year Actual'!H10/'Last Year Actual'!$O10)</f>
        <v>0</v>
      </c>
      <c r="J10" s="64">
        <f>$C10*('Last Year Actual'!I10/'Last Year Actual'!$O10)</f>
        <v>0</v>
      </c>
      <c r="K10" s="64">
        <f>$C10*('Last Year Actual'!J10/'Last Year Actual'!$O10)</f>
        <v>0</v>
      </c>
      <c r="L10" s="64">
        <f>$C10*('Last Year Actual'!K10/'Last Year Actual'!$O10)</f>
        <v>0</v>
      </c>
      <c r="M10" s="64">
        <f>$C10*('Last Year Actual'!L10/'Last Year Actual'!$O10)</f>
        <v>0</v>
      </c>
      <c r="N10" s="64">
        <f>$C10*('Last Year Actual'!M10/'Last Year Actual'!$O10)</f>
        <v>0</v>
      </c>
      <c r="O10" s="64">
        <f>$C10*('Last Year Actual'!N10/'Last Year Actual'!$O10)</f>
        <v>0</v>
      </c>
      <c r="P10" s="36">
        <f t="shared" si="2"/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9.5" customHeight="1">
      <c r="A11" s="17"/>
      <c r="B11" s="12" t="s">
        <v>18</v>
      </c>
      <c r="C11" s="20">
        <v>55000</v>
      </c>
      <c r="D11" s="64">
        <f>$C11*('Last Year Actual'!C11/'Last Year Actual'!$O11)</f>
        <v>2.199912003519859</v>
      </c>
      <c r="E11" s="64">
        <f>$C11*('Last Year Actual'!D11/'Last Year Actual'!$O11)</f>
        <v>0</v>
      </c>
      <c r="F11" s="64">
        <f>$C11*('Last Year Actual'!E11/'Last Year Actual'!$O11)</f>
        <v>0</v>
      </c>
      <c r="G11" s="64">
        <f>$C11*('Last Year Actual'!F11/'Last Year Actual'!$O11)</f>
        <v>0</v>
      </c>
      <c r="H11" s="64">
        <f>$C11*('Last Year Actual'!G11/'Last Year Actual'!$O11)</f>
        <v>0</v>
      </c>
      <c r="I11" s="64">
        <f>$C11*('Last Year Actual'!H11/'Last Year Actual'!$O11)</f>
        <v>54997.80008799648</v>
      </c>
      <c r="J11" s="64">
        <f>$C11*('Last Year Actual'!I11/'Last Year Actual'!$O11)</f>
        <v>0</v>
      </c>
      <c r="K11" s="64">
        <f>$C11*('Last Year Actual'!J11/'Last Year Actual'!$O11)</f>
        <v>0</v>
      </c>
      <c r="L11" s="64">
        <f>$C11*('Last Year Actual'!K11/'Last Year Actual'!$O11)</f>
        <v>0</v>
      </c>
      <c r="M11" s="64">
        <f>$C11*('Last Year Actual'!L11/'Last Year Actual'!$O11)</f>
        <v>0</v>
      </c>
      <c r="N11" s="64">
        <f>$C11*('Last Year Actual'!M11/'Last Year Actual'!$O11)</f>
        <v>0</v>
      </c>
      <c r="O11" s="64">
        <f>$C11*('Last Year Actual'!N11/'Last Year Actual'!$O11)</f>
        <v>0</v>
      </c>
      <c r="P11" s="36">
        <f t="shared" si="2"/>
        <v>55000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9.5" customHeight="1">
      <c r="A12" s="42"/>
      <c r="B12" s="28" t="s">
        <v>19</v>
      </c>
      <c r="C12" s="20">
        <v>0</v>
      </c>
      <c r="D12" s="64">
        <f>$C12*('Last Year Actual'!C12/'Last Year Actual'!$O12)</f>
        <v>0</v>
      </c>
      <c r="E12" s="64">
        <f>$C12*('Last Year Actual'!D12/'Last Year Actual'!$O12)</f>
        <v>0</v>
      </c>
      <c r="F12" s="64">
        <f>$C12*('Last Year Actual'!E12/'Last Year Actual'!$O12)</f>
        <v>0</v>
      </c>
      <c r="G12" s="64">
        <f>$C12*('Last Year Actual'!F12/'Last Year Actual'!$O12)</f>
        <v>0</v>
      </c>
      <c r="H12" s="64">
        <f>$C12*('Last Year Actual'!G12/'Last Year Actual'!$O12)</f>
        <v>0</v>
      </c>
      <c r="I12" s="64">
        <f>$C12*('Last Year Actual'!H12/'Last Year Actual'!$O12)</f>
        <v>0</v>
      </c>
      <c r="J12" s="64">
        <f>$C12*('Last Year Actual'!I12/'Last Year Actual'!$O12)</f>
        <v>0</v>
      </c>
      <c r="K12" s="64">
        <f>$C12*('Last Year Actual'!J12/'Last Year Actual'!$O12)</f>
        <v>0</v>
      </c>
      <c r="L12" s="64">
        <f>$C12*('Last Year Actual'!K12/'Last Year Actual'!$O12)</f>
        <v>0</v>
      </c>
      <c r="M12" s="64">
        <f>$C12*('Last Year Actual'!L12/'Last Year Actual'!$O12)</f>
        <v>0</v>
      </c>
      <c r="N12" s="64">
        <f>$C12*('Last Year Actual'!M12/'Last Year Actual'!$O12)</f>
        <v>0</v>
      </c>
      <c r="O12" s="64">
        <f>$C12*('Last Year Actual'!N12/'Last Year Actual'!$O12)</f>
        <v>0</v>
      </c>
      <c r="P12" s="36">
        <f t="shared" si="2"/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9.5" customHeight="1">
      <c r="A13" s="42"/>
      <c r="B13" s="28" t="s">
        <v>20</v>
      </c>
      <c r="C13" s="20">
        <v>0</v>
      </c>
      <c r="D13" s="64">
        <f>$C13*('Last Year Actual'!C13/'Last Year Actual'!$O13)</f>
        <v>0</v>
      </c>
      <c r="E13" s="64">
        <f>$C13*('Last Year Actual'!D13/'Last Year Actual'!$O13)</f>
        <v>0</v>
      </c>
      <c r="F13" s="64">
        <f>$C13*('Last Year Actual'!E13/'Last Year Actual'!$O13)</f>
        <v>0</v>
      </c>
      <c r="G13" s="64">
        <f>$C13*('Last Year Actual'!F13/'Last Year Actual'!$O13)</f>
        <v>0</v>
      </c>
      <c r="H13" s="64">
        <f>$C13*('Last Year Actual'!G13/'Last Year Actual'!$O13)</f>
        <v>0</v>
      </c>
      <c r="I13" s="64">
        <f>$C13*('Last Year Actual'!H13/'Last Year Actual'!$O13)</f>
        <v>0</v>
      </c>
      <c r="J13" s="64">
        <f>$C13*('Last Year Actual'!I13/'Last Year Actual'!$O13)</f>
        <v>0</v>
      </c>
      <c r="K13" s="64">
        <f>$C13*('Last Year Actual'!J13/'Last Year Actual'!$O13)</f>
        <v>0</v>
      </c>
      <c r="L13" s="64">
        <f>$C13*('Last Year Actual'!K13/'Last Year Actual'!$O13)</f>
        <v>0</v>
      </c>
      <c r="M13" s="64">
        <f>$C13*('Last Year Actual'!L13/'Last Year Actual'!$O13)</f>
        <v>0</v>
      </c>
      <c r="N13" s="64">
        <f>$C13*('Last Year Actual'!M13/'Last Year Actual'!$O13)</f>
        <v>0</v>
      </c>
      <c r="O13" s="64">
        <f>$C13*('Last Year Actual'!N13/'Last Year Actual'!$O13)</f>
        <v>0</v>
      </c>
      <c r="P13" s="36">
        <f t="shared" si="2"/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9.5" customHeight="1">
      <c r="A14" s="43"/>
      <c r="B14" s="29" t="s">
        <v>21</v>
      </c>
      <c r="C14" s="20">
        <v>100000</v>
      </c>
      <c r="D14" s="64">
        <f>$C14*('Last Year Actual'!C14/'Last Year Actual'!$O14)</f>
        <v>100000</v>
      </c>
      <c r="E14" s="64">
        <f>$C14*('Last Year Actual'!D14/'Last Year Actual'!$O14)</f>
        <v>0</v>
      </c>
      <c r="F14" s="64">
        <f>$C14*('Last Year Actual'!E14/'Last Year Actual'!$O14)</f>
        <v>0</v>
      </c>
      <c r="G14" s="64">
        <f>$C14*('Last Year Actual'!F14/'Last Year Actual'!$O14)</f>
        <v>0</v>
      </c>
      <c r="H14" s="64">
        <f>$C14*('Last Year Actual'!G14/'Last Year Actual'!$O14)</f>
        <v>0</v>
      </c>
      <c r="I14" s="64">
        <f>$C14*('Last Year Actual'!H14/'Last Year Actual'!$O14)</f>
        <v>0</v>
      </c>
      <c r="J14" s="64">
        <f>$C14*('Last Year Actual'!I14/'Last Year Actual'!$O14)</f>
        <v>0</v>
      </c>
      <c r="K14" s="64">
        <f>$C14*('Last Year Actual'!J14/'Last Year Actual'!$O14)</f>
        <v>0</v>
      </c>
      <c r="L14" s="64">
        <f>$C14*('Last Year Actual'!K14/'Last Year Actual'!$O14)</f>
        <v>0</v>
      </c>
      <c r="M14" s="64">
        <f>$C14*('Last Year Actual'!L14/'Last Year Actual'!$O14)</f>
        <v>0</v>
      </c>
      <c r="N14" s="64">
        <f>$C14*('Last Year Actual'!M14/'Last Year Actual'!$O14)</f>
        <v>0</v>
      </c>
      <c r="O14" s="64">
        <f>$C14*('Last Year Actual'!N14/'Last Year Actual'!$O14)</f>
        <v>0</v>
      </c>
      <c r="P14" s="36">
        <f t="shared" si="2"/>
        <v>100000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9.5" customHeight="1">
      <c r="A15" s="41"/>
      <c r="B15" s="30" t="s">
        <v>43</v>
      </c>
      <c r="C15" s="20">
        <v>200000</v>
      </c>
      <c r="D15" s="64">
        <f>$C15*('Last Year Actual'!C15/'Last Year Actual'!$O15)</f>
        <v>0.8888849382891632</v>
      </c>
      <c r="E15" s="64">
        <f>$C15*('Last Year Actual'!D15/'Last Year Actual'!$O15)</f>
        <v>0</v>
      </c>
      <c r="F15" s="64">
        <f>$C15*('Last Year Actual'!E15/'Last Year Actual'!$O15)</f>
        <v>0</v>
      </c>
      <c r="G15" s="64">
        <f>$C15*('Last Year Actual'!F15/'Last Year Actual'!$O15)</f>
        <v>0</v>
      </c>
      <c r="H15" s="64">
        <f>$C15*('Last Year Actual'!G15/'Last Year Actual'!$O15)</f>
        <v>0</v>
      </c>
      <c r="I15" s="64">
        <f>$C15*('Last Year Actual'!H15/'Last Year Actual'!$O15)</f>
        <v>0</v>
      </c>
      <c r="J15" s="64">
        <f>$C15*('Last Year Actual'!I15/'Last Year Actual'!$O15)</f>
        <v>0</v>
      </c>
      <c r="K15" s="64">
        <f>$C15*('Last Year Actual'!J15/'Last Year Actual'!$O15)</f>
        <v>0</v>
      </c>
      <c r="L15" s="64">
        <f>$C15*('Last Year Actual'!K15/'Last Year Actual'!$O15)</f>
        <v>66666.37037168724</v>
      </c>
      <c r="M15" s="64">
        <f>$C15*('Last Year Actual'!L15/'Last Year Actual'!$O15)</f>
        <v>133332.74074337448</v>
      </c>
      <c r="N15" s="64">
        <f>$C15*('Last Year Actual'!M15/'Last Year Actual'!$O15)</f>
        <v>0</v>
      </c>
      <c r="O15" s="64">
        <f>$C15*('Last Year Actual'!N15/'Last Year Actual'!$O15)</f>
        <v>0</v>
      </c>
      <c r="P15" s="36">
        <f t="shared" si="2"/>
        <v>200000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3.75" customHeight="1">
      <c r="A16" s="17"/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16" s="4" customFormat="1" ht="19.5" customHeight="1">
      <c r="A17" s="31"/>
      <c r="B17" s="11" t="s">
        <v>22</v>
      </c>
      <c r="C17" s="7">
        <f>SUM(C18:C24)</f>
        <v>200500</v>
      </c>
      <c r="D17" s="7">
        <f aca="true" t="shared" si="3" ref="D17:P17">SUM(D18:D24)</f>
        <v>200500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>
        <f t="shared" si="3"/>
        <v>0</v>
      </c>
      <c r="K17" s="7">
        <f t="shared" si="3"/>
        <v>0</v>
      </c>
      <c r="L17" s="7">
        <f t="shared" si="3"/>
        <v>0</v>
      </c>
      <c r="M17" s="7">
        <f t="shared" si="3"/>
        <v>0</v>
      </c>
      <c r="N17" s="7">
        <f t="shared" si="3"/>
        <v>0</v>
      </c>
      <c r="O17" s="7">
        <f t="shared" si="3"/>
        <v>0</v>
      </c>
      <c r="P17" s="35">
        <f t="shared" si="3"/>
        <v>200500</v>
      </c>
    </row>
    <row r="18" spans="1:255" ht="19.5" customHeight="1">
      <c r="A18" s="41"/>
      <c r="B18" s="27" t="s">
        <v>23</v>
      </c>
      <c r="C18" s="20">
        <v>0</v>
      </c>
      <c r="D18" s="64">
        <f>$C18*('Last Year Actual'!C18/'Last Year Actual'!$O18)</f>
        <v>0</v>
      </c>
      <c r="E18" s="64">
        <f>$C18*('Last Year Actual'!D18/'Last Year Actual'!$O18)</f>
        <v>0</v>
      </c>
      <c r="F18" s="64">
        <f>$C18*('Last Year Actual'!E18/'Last Year Actual'!$O18)</f>
        <v>0</v>
      </c>
      <c r="G18" s="64">
        <f>$C18*('Last Year Actual'!F18/'Last Year Actual'!$O18)</f>
        <v>0</v>
      </c>
      <c r="H18" s="64">
        <f>$C18*('Last Year Actual'!G18/'Last Year Actual'!$O18)</f>
        <v>0</v>
      </c>
      <c r="I18" s="64">
        <f>$C18*('Last Year Actual'!H18/'Last Year Actual'!$O18)</f>
        <v>0</v>
      </c>
      <c r="J18" s="64">
        <f>$C18*('Last Year Actual'!I18/'Last Year Actual'!$O18)</f>
        <v>0</v>
      </c>
      <c r="K18" s="64">
        <f>$C18*('Last Year Actual'!J18/'Last Year Actual'!$O18)</f>
        <v>0</v>
      </c>
      <c r="L18" s="64">
        <f>$C18*('Last Year Actual'!K18/'Last Year Actual'!$O18)</f>
        <v>0</v>
      </c>
      <c r="M18" s="64">
        <f>$C18*('Last Year Actual'!L18/'Last Year Actual'!$O18)</f>
        <v>0</v>
      </c>
      <c r="N18" s="64">
        <f>$C18*('Last Year Actual'!M18/'Last Year Actual'!$O18)</f>
        <v>0</v>
      </c>
      <c r="O18" s="64">
        <f>$C18*('Last Year Actual'!N18/'Last Year Actual'!$O18)</f>
        <v>0</v>
      </c>
      <c r="P18" s="36">
        <f>SUM(D18:O18)</f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9.5" customHeight="1">
      <c r="A19" s="17"/>
      <c r="B19" s="12" t="s">
        <v>24</v>
      </c>
      <c r="C19" s="20">
        <v>0</v>
      </c>
      <c r="D19" s="64">
        <f>$C19*('Last Year Actual'!C19/'Last Year Actual'!$O19)</f>
        <v>0</v>
      </c>
      <c r="E19" s="64">
        <f>$C19*('Last Year Actual'!D19/'Last Year Actual'!$O19)</f>
        <v>0</v>
      </c>
      <c r="F19" s="64">
        <f>$C19*('Last Year Actual'!E19/'Last Year Actual'!$O19)</f>
        <v>0</v>
      </c>
      <c r="G19" s="64">
        <f>$C19*('Last Year Actual'!F19/'Last Year Actual'!$O19)</f>
        <v>0</v>
      </c>
      <c r="H19" s="64">
        <f>$C19*('Last Year Actual'!G19/'Last Year Actual'!$O19)</f>
        <v>0</v>
      </c>
      <c r="I19" s="64">
        <f>$C19*('Last Year Actual'!H19/'Last Year Actual'!$O19)</f>
        <v>0</v>
      </c>
      <c r="J19" s="64">
        <f>$C19*('Last Year Actual'!I19/'Last Year Actual'!$O19)</f>
        <v>0</v>
      </c>
      <c r="K19" s="64">
        <f>$C19*('Last Year Actual'!J19/'Last Year Actual'!$O19)</f>
        <v>0</v>
      </c>
      <c r="L19" s="64">
        <f>$C19*('Last Year Actual'!K19/'Last Year Actual'!$O19)</f>
        <v>0</v>
      </c>
      <c r="M19" s="64">
        <f>$C19*('Last Year Actual'!L19/'Last Year Actual'!$O19)</f>
        <v>0</v>
      </c>
      <c r="N19" s="64">
        <f>$C19*('Last Year Actual'!M19/'Last Year Actual'!$O19)</f>
        <v>0</v>
      </c>
      <c r="O19" s="64">
        <f>$C19*('Last Year Actual'!N19/'Last Year Actual'!$O19)</f>
        <v>0</v>
      </c>
      <c r="P19" s="36">
        <f aca="true" t="shared" si="4" ref="P19:P24">SUM(D19:O19)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9.5" customHeight="1">
      <c r="A20" s="41"/>
      <c r="B20" s="27" t="s">
        <v>25</v>
      </c>
      <c r="C20" s="20">
        <v>0</v>
      </c>
      <c r="D20" s="64">
        <f>$C20*('Last Year Actual'!C20/'Last Year Actual'!$O20)</f>
        <v>0</v>
      </c>
      <c r="E20" s="64">
        <f>$C20*('Last Year Actual'!D20/'Last Year Actual'!$O20)</f>
        <v>0</v>
      </c>
      <c r="F20" s="64">
        <f>$C20*('Last Year Actual'!E20/'Last Year Actual'!$O20)</f>
        <v>0</v>
      </c>
      <c r="G20" s="64">
        <f>$C20*('Last Year Actual'!F20/'Last Year Actual'!$O20)</f>
        <v>0</v>
      </c>
      <c r="H20" s="64">
        <f>$C20*('Last Year Actual'!G20/'Last Year Actual'!$O20)</f>
        <v>0</v>
      </c>
      <c r="I20" s="64">
        <f>$C20*('Last Year Actual'!H20/'Last Year Actual'!$O20)</f>
        <v>0</v>
      </c>
      <c r="J20" s="64">
        <f>$C20*('Last Year Actual'!I20/'Last Year Actual'!$O20)</f>
        <v>0</v>
      </c>
      <c r="K20" s="64">
        <f>$C20*('Last Year Actual'!J20/'Last Year Actual'!$O20)</f>
        <v>0</v>
      </c>
      <c r="L20" s="64">
        <f>$C20*('Last Year Actual'!K20/'Last Year Actual'!$O20)</f>
        <v>0</v>
      </c>
      <c r="M20" s="64">
        <f>$C20*('Last Year Actual'!L20/'Last Year Actual'!$O20)</f>
        <v>0</v>
      </c>
      <c r="N20" s="64">
        <f>$C20*('Last Year Actual'!M20/'Last Year Actual'!$O20)</f>
        <v>0</v>
      </c>
      <c r="O20" s="64">
        <f>$C20*('Last Year Actual'!N20/'Last Year Actual'!$O20)</f>
        <v>0</v>
      </c>
      <c r="P20" s="36">
        <f t="shared" si="4"/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9.5" customHeight="1">
      <c r="A21" s="17"/>
      <c r="B21" s="13" t="s">
        <v>41</v>
      </c>
      <c r="C21" s="20">
        <v>190000</v>
      </c>
      <c r="D21" s="64">
        <f>$C21*('Last Year Actual'!C21/'Last Year Actual'!$O21)</f>
        <v>190000</v>
      </c>
      <c r="E21" s="64">
        <f>$C21*('Last Year Actual'!D21/'Last Year Actual'!$O21)</f>
        <v>0</v>
      </c>
      <c r="F21" s="64">
        <f>$C21*('Last Year Actual'!E21/'Last Year Actual'!$O21)</f>
        <v>0</v>
      </c>
      <c r="G21" s="64">
        <f>$C21*('Last Year Actual'!F21/'Last Year Actual'!$O21)</f>
        <v>0</v>
      </c>
      <c r="H21" s="64">
        <f>$C21*('Last Year Actual'!G21/'Last Year Actual'!$O21)</f>
        <v>0</v>
      </c>
      <c r="I21" s="64">
        <f>$C21*('Last Year Actual'!H21/'Last Year Actual'!$O21)</f>
        <v>0</v>
      </c>
      <c r="J21" s="64">
        <f>$C21*('Last Year Actual'!I21/'Last Year Actual'!$O21)</f>
        <v>0</v>
      </c>
      <c r="K21" s="64">
        <f>$C21*('Last Year Actual'!J21/'Last Year Actual'!$O21)</f>
        <v>0</v>
      </c>
      <c r="L21" s="64">
        <f>$C21*('Last Year Actual'!K21/'Last Year Actual'!$O21)</f>
        <v>0</v>
      </c>
      <c r="M21" s="64">
        <f>$C21*('Last Year Actual'!L21/'Last Year Actual'!$O21)</f>
        <v>0</v>
      </c>
      <c r="N21" s="64">
        <f>$C21*('Last Year Actual'!M21/'Last Year Actual'!$O21)</f>
        <v>0</v>
      </c>
      <c r="O21" s="64">
        <f>$C21*('Last Year Actual'!N21/'Last Year Actual'!$O21)</f>
        <v>0</v>
      </c>
      <c r="P21" s="36">
        <f t="shared" si="4"/>
        <v>190000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9.5" customHeight="1">
      <c r="A22" s="41"/>
      <c r="B22" s="30" t="s">
        <v>42</v>
      </c>
      <c r="C22" s="20">
        <v>0</v>
      </c>
      <c r="D22" s="64">
        <f>$C22*('Last Year Actual'!C22/'Last Year Actual'!$O22)</f>
        <v>0</v>
      </c>
      <c r="E22" s="64">
        <f>$C22*('Last Year Actual'!D22/'Last Year Actual'!$O22)</f>
        <v>0</v>
      </c>
      <c r="F22" s="64">
        <f>$C22*('Last Year Actual'!E22/'Last Year Actual'!$O22)</f>
        <v>0</v>
      </c>
      <c r="G22" s="64">
        <f>$C22*('Last Year Actual'!F22/'Last Year Actual'!$O22)</f>
        <v>0</v>
      </c>
      <c r="H22" s="64">
        <f>$C22*('Last Year Actual'!G22/'Last Year Actual'!$O22)</f>
        <v>0</v>
      </c>
      <c r="I22" s="64">
        <f>$C22*('Last Year Actual'!H22/'Last Year Actual'!$O22)</f>
        <v>0</v>
      </c>
      <c r="J22" s="64">
        <f>$C22*('Last Year Actual'!I22/'Last Year Actual'!$O22)</f>
        <v>0</v>
      </c>
      <c r="K22" s="64">
        <f>$C22*('Last Year Actual'!J22/'Last Year Actual'!$O22)</f>
        <v>0</v>
      </c>
      <c r="L22" s="64">
        <f>$C22*('Last Year Actual'!K22/'Last Year Actual'!$O22)</f>
        <v>0</v>
      </c>
      <c r="M22" s="64">
        <f>$C22*('Last Year Actual'!L22/'Last Year Actual'!$O22)</f>
        <v>0</v>
      </c>
      <c r="N22" s="64">
        <f>$C22*('Last Year Actual'!M22/'Last Year Actual'!$O22)</f>
        <v>0</v>
      </c>
      <c r="O22" s="64">
        <f>$C22*('Last Year Actual'!N22/'Last Year Actual'!$O22)</f>
        <v>0</v>
      </c>
      <c r="P22" s="36">
        <f t="shared" si="4"/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9.5" customHeight="1">
      <c r="A23" s="41"/>
      <c r="B23" s="27" t="s">
        <v>26</v>
      </c>
      <c r="C23" s="20">
        <v>10500</v>
      </c>
      <c r="D23" s="64">
        <f>$C23*('Last Year Actual'!C23/'Last Year Actual'!$O23)</f>
        <v>10500</v>
      </c>
      <c r="E23" s="64">
        <f>$C23*('Last Year Actual'!D23/'Last Year Actual'!$O23)</f>
        <v>0</v>
      </c>
      <c r="F23" s="64">
        <f>$C23*('Last Year Actual'!E23/'Last Year Actual'!$O23)</f>
        <v>0</v>
      </c>
      <c r="G23" s="64">
        <f>$C23*('Last Year Actual'!F23/'Last Year Actual'!$O23)</f>
        <v>0</v>
      </c>
      <c r="H23" s="64">
        <f>$C23*('Last Year Actual'!G23/'Last Year Actual'!$O23)</f>
        <v>0</v>
      </c>
      <c r="I23" s="64">
        <f>$C23*('Last Year Actual'!H23/'Last Year Actual'!$O23)</f>
        <v>0</v>
      </c>
      <c r="J23" s="64">
        <f>$C23*('Last Year Actual'!I23/'Last Year Actual'!$O23)</f>
        <v>0</v>
      </c>
      <c r="K23" s="64">
        <f>$C23*('Last Year Actual'!J23/'Last Year Actual'!$O23)</f>
        <v>0</v>
      </c>
      <c r="L23" s="64">
        <f>$C23*('Last Year Actual'!K23/'Last Year Actual'!$O23)</f>
        <v>0</v>
      </c>
      <c r="M23" s="64">
        <f>$C23*('Last Year Actual'!L23/'Last Year Actual'!$O23)</f>
        <v>0</v>
      </c>
      <c r="N23" s="64">
        <f>$C23*('Last Year Actual'!M23/'Last Year Actual'!$O23)</f>
        <v>0</v>
      </c>
      <c r="O23" s="64">
        <f>$C23*('Last Year Actual'!N23/'Last Year Actual'!$O23)</f>
        <v>0</v>
      </c>
      <c r="P23" s="36">
        <f t="shared" si="4"/>
        <v>10500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9.5" customHeight="1" thickBot="1">
      <c r="A24" s="18"/>
      <c r="B24" s="19" t="s">
        <v>27</v>
      </c>
      <c r="C24" s="38">
        <v>0</v>
      </c>
      <c r="D24" s="68">
        <f>$C24*('Last Year Actual'!C24/'Last Year Actual'!$O24)</f>
        <v>0</v>
      </c>
      <c r="E24" s="68">
        <f>$C24*('Last Year Actual'!D24/'Last Year Actual'!$O24)</f>
        <v>0</v>
      </c>
      <c r="F24" s="68">
        <f>$C24*('Last Year Actual'!E24/'Last Year Actual'!$O24)</f>
        <v>0</v>
      </c>
      <c r="G24" s="68">
        <f>$C24*('Last Year Actual'!F24/'Last Year Actual'!$O24)</f>
        <v>0</v>
      </c>
      <c r="H24" s="68">
        <f>$C24*('Last Year Actual'!G24/'Last Year Actual'!$O24)</f>
        <v>0</v>
      </c>
      <c r="I24" s="68">
        <f>$C24*('Last Year Actual'!H24/'Last Year Actual'!$O24)</f>
        <v>0</v>
      </c>
      <c r="J24" s="68">
        <f>$C24*('Last Year Actual'!I24/'Last Year Actual'!$O24)</f>
        <v>0</v>
      </c>
      <c r="K24" s="68">
        <f>$C24*('Last Year Actual'!J24/'Last Year Actual'!$O24)</f>
        <v>0</v>
      </c>
      <c r="L24" s="68">
        <f>$C24*('Last Year Actual'!K24/'Last Year Actual'!$O24)</f>
        <v>0</v>
      </c>
      <c r="M24" s="68">
        <f>$C24*('Last Year Actual'!L24/'Last Year Actual'!$O24)</f>
        <v>0</v>
      </c>
      <c r="N24" s="68">
        <f>$C24*('Last Year Actual'!M24/'Last Year Actual'!$O24)</f>
        <v>0</v>
      </c>
      <c r="O24" s="68">
        <f>$C24*('Last Year Actual'!N24/'Last Year Actual'!$O24)</f>
        <v>0</v>
      </c>
      <c r="P24" s="36">
        <f t="shared" si="4"/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1.25" customHeight="1" thickBot="1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9.5" customHeight="1">
      <c r="A26" s="50" t="s">
        <v>88</v>
      </c>
      <c r="B26" s="61"/>
      <c r="C26" s="51">
        <f aca="true" t="shared" si="5" ref="C26:P26">SUM(C27:C38)</f>
        <v>1569002.04</v>
      </c>
      <c r="D26" s="51">
        <f t="shared" si="5"/>
        <v>7.948792151132407</v>
      </c>
      <c r="E26" s="51">
        <f t="shared" si="5"/>
        <v>129908.73556173922</v>
      </c>
      <c r="F26" s="51">
        <f t="shared" si="5"/>
        <v>129908.73556173922</v>
      </c>
      <c r="G26" s="51">
        <f t="shared" si="5"/>
        <v>129908.73556173922</v>
      </c>
      <c r="H26" s="51">
        <f t="shared" si="5"/>
        <v>129908.73556173922</v>
      </c>
      <c r="I26" s="51">
        <f t="shared" si="5"/>
        <v>129908.73556173922</v>
      </c>
      <c r="J26" s="51">
        <f t="shared" si="5"/>
        <v>129908.73556173922</v>
      </c>
      <c r="K26" s="51">
        <f t="shared" si="5"/>
        <v>129908.73556173922</v>
      </c>
      <c r="L26" s="51">
        <f t="shared" si="5"/>
        <v>194907.7355771236</v>
      </c>
      <c r="M26" s="51">
        <f t="shared" si="5"/>
        <v>204907.73557507235</v>
      </c>
      <c r="N26" s="51">
        <f t="shared" si="5"/>
        <v>129908.73556173922</v>
      </c>
      <c r="O26" s="51">
        <f t="shared" si="5"/>
        <v>129908.73556173922</v>
      </c>
      <c r="P26" s="52">
        <f t="shared" si="5"/>
        <v>1569002.04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9.5" customHeight="1">
      <c r="A27" s="41"/>
      <c r="B27" s="27" t="s">
        <v>28</v>
      </c>
      <c r="C27" s="20">
        <v>841501.02</v>
      </c>
      <c r="D27" s="64">
        <f>$C27*('Last Year Actual'!C27/'Last Year Actual'!$O27)</f>
        <v>1.02</v>
      </c>
      <c r="E27" s="64">
        <f>$C27*('Last Year Actual'!D27/'Last Year Actual'!$O27)</f>
        <v>76500</v>
      </c>
      <c r="F27" s="64">
        <f>$C27*('Last Year Actual'!E27/'Last Year Actual'!$O27)</f>
        <v>76500</v>
      </c>
      <c r="G27" s="64">
        <f>$C27*('Last Year Actual'!F27/'Last Year Actual'!$O27)</f>
        <v>76500</v>
      </c>
      <c r="H27" s="64">
        <f>$C27*('Last Year Actual'!G27/'Last Year Actual'!$O27)</f>
        <v>76500</v>
      </c>
      <c r="I27" s="64">
        <f>$C27*('Last Year Actual'!H27/'Last Year Actual'!$O27)</f>
        <v>76500</v>
      </c>
      <c r="J27" s="64">
        <f>$C27*('Last Year Actual'!I27/'Last Year Actual'!$O27)</f>
        <v>76500</v>
      </c>
      <c r="K27" s="64">
        <f>$C27*('Last Year Actual'!J27/'Last Year Actual'!$O27)</f>
        <v>76500</v>
      </c>
      <c r="L27" s="64">
        <f>$C27*('Last Year Actual'!K27/'Last Year Actual'!$O27)</f>
        <v>76500</v>
      </c>
      <c r="M27" s="64">
        <f>$C27*('Last Year Actual'!L27/'Last Year Actual'!$O27)</f>
        <v>76500</v>
      </c>
      <c r="N27" s="64">
        <f>$C27*('Last Year Actual'!M27/'Last Year Actual'!$O27)</f>
        <v>76500</v>
      </c>
      <c r="O27" s="64">
        <f>$C27*('Last Year Actual'!N27/'Last Year Actual'!$O27)</f>
        <v>76500</v>
      </c>
      <c r="P27" s="53">
        <f>SUM(D27:O27)</f>
        <v>841501.02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9.5" customHeight="1">
      <c r="A28" s="41"/>
      <c r="B28" s="27" t="s">
        <v>29</v>
      </c>
      <c r="C28" s="20">
        <v>280501.02</v>
      </c>
      <c r="D28" s="64">
        <f>$C28*('Last Year Actual'!C28/'Last Year Actual'!$O28)</f>
        <v>1.02</v>
      </c>
      <c r="E28" s="64">
        <f>$C28*('Last Year Actual'!D28/'Last Year Actual'!$O28)</f>
        <v>25500</v>
      </c>
      <c r="F28" s="64">
        <f>$C28*('Last Year Actual'!E28/'Last Year Actual'!$O28)</f>
        <v>25500</v>
      </c>
      <c r="G28" s="64">
        <f>$C28*('Last Year Actual'!F28/'Last Year Actual'!$O28)</f>
        <v>25500</v>
      </c>
      <c r="H28" s="64">
        <f>$C28*('Last Year Actual'!G28/'Last Year Actual'!$O28)</f>
        <v>25500</v>
      </c>
      <c r="I28" s="64">
        <f>$C28*('Last Year Actual'!H28/'Last Year Actual'!$O28)</f>
        <v>25500</v>
      </c>
      <c r="J28" s="64">
        <f>$C28*('Last Year Actual'!I28/'Last Year Actual'!$O28)</f>
        <v>25500</v>
      </c>
      <c r="K28" s="64">
        <f>$C28*('Last Year Actual'!J28/'Last Year Actual'!$O28)</f>
        <v>25500</v>
      </c>
      <c r="L28" s="64">
        <f>$C28*('Last Year Actual'!K28/'Last Year Actual'!$O28)</f>
        <v>25500</v>
      </c>
      <c r="M28" s="64">
        <f>$C28*('Last Year Actual'!L28/'Last Year Actual'!$O28)</f>
        <v>25500</v>
      </c>
      <c r="N28" s="64">
        <f>$C28*('Last Year Actual'!M28/'Last Year Actual'!$O28)</f>
        <v>25500</v>
      </c>
      <c r="O28" s="64">
        <f>$C28*('Last Year Actual'!N28/'Last Year Actual'!$O28)</f>
        <v>25500</v>
      </c>
      <c r="P28" s="53">
        <f aca="true" t="shared" si="6" ref="P28:P38">SUM(D28:O28)</f>
        <v>280501.02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9.5" customHeight="1">
      <c r="A29" s="41"/>
      <c r="B29" s="27" t="s">
        <v>30</v>
      </c>
      <c r="C29" s="20">
        <v>162000</v>
      </c>
      <c r="D29" s="64">
        <f>$C29*('Last Year Actual'!C29/'Last Year Actual'!$O29)</f>
        <v>0.9818122314410215</v>
      </c>
      <c r="E29" s="64">
        <f>$C29*('Last Year Actual'!D29/'Last Year Actual'!$O29)</f>
        <v>14727.183471615324</v>
      </c>
      <c r="F29" s="64">
        <f>$C29*('Last Year Actual'!E29/'Last Year Actual'!$O29)</f>
        <v>14727.183471615324</v>
      </c>
      <c r="G29" s="64">
        <f>$C29*('Last Year Actual'!F29/'Last Year Actual'!$O29)</f>
        <v>14727.183471615324</v>
      </c>
      <c r="H29" s="64">
        <f>$C29*('Last Year Actual'!G29/'Last Year Actual'!$O29)</f>
        <v>14727.183471615324</v>
      </c>
      <c r="I29" s="64">
        <f>$C29*('Last Year Actual'!H29/'Last Year Actual'!$O29)</f>
        <v>14727.183471615324</v>
      </c>
      <c r="J29" s="64">
        <f>$C29*('Last Year Actual'!I29/'Last Year Actual'!$O29)</f>
        <v>14727.183471615324</v>
      </c>
      <c r="K29" s="64">
        <f>$C29*('Last Year Actual'!J29/'Last Year Actual'!$O29)</f>
        <v>14727.183471615324</v>
      </c>
      <c r="L29" s="64">
        <f>$C29*('Last Year Actual'!K29/'Last Year Actual'!$O29)</f>
        <v>14727.183471615324</v>
      </c>
      <c r="M29" s="64">
        <f>$C29*('Last Year Actual'!L29/'Last Year Actual'!$O29)</f>
        <v>14727.183471615324</v>
      </c>
      <c r="N29" s="64">
        <f>$C29*('Last Year Actual'!M29/'Last Year Actual'!$O29)</f>
        <v>14727.183471615324</v>
      </c>
      <c r="O29" s="64">
        <f>$C29*('Last Year Actual'!N29/'Last Year Actual'!$O29)</f>
        <v>14727.183471615324</v>
      </c>
      <c r="P29" s="53">
        <f t="shared" si="6"/>
        <v>162000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9.5" customHeight="1">
      <c r="A30" s="41"/>
      <c r="B30" s="27" t="s">
        <v>31</v>
      </c>
      <c r="C30" s="20">
        <v>40000</v>
      </c>
      <c r="D30" s="64">
        <f>$C30*('Last Year Actual'!C30/'Last Year Actual'!$O30)</f>
        <v>1.038934053660944</v>
      </c>
      <c r="E30" s="64">
        <f>$C30*('Last Year Actual'!D30/'Last Year Actual'!$O30)</f>
        <v>3636.2691878133037</v>
      </c>
      <c r="F30" s="64">
        <f>$C30*('Last Year Actual'!E30/'Last Year Actual'!$O30)</f>
        <v>3636.2691878133037</v>
      </c>
      <c r="G30" s="64">
        <f>$C30*('Last Year Actual'!F30/'Last Year Actual'!$O30)</f>
        <v>3636.2691878133037</v>
      </c>
      <c r="H30" s="64">
        <f>$C30*('Last Year Actual'!G30/'Last Year Actual'!$O30)</f>
        <v>3636.2691878133037</v>
      </c>
      <c r="I30" s="64">
        <f>$C30*('Last Year Actual'!H30/'Last Year Actual'!$O30)</f>
        <v>3636.2691878133037</v>
      </c>
      <c r="J30" s="64">
        <f>$C30*('Last Year Actual'!I30/'Last Year Actual'!$O30)</f>
        <v>3636.2691878133037</v>
      </c>
      <c r="K30" s="64">
        <f>$C30*('Last Year Actual'!J30/'Last Year Actual'!$O30)</f>
        <v>3636.2691878133037</v>
      </c>
      <c r="L30" s="64">
        <f>$C30*('Last Year Actual'!K30/'Last Year Actual'!$O30)</f>
        <v>3636.2691878133037</v>
      </c>
      <c r="M30" s="64">
        <f>$C30*('Last Year Actual'!L30/'Last Year Actual'!$O30)</f>
        <v>3636.2691878133037</v>
      </c>
      <c r="N30" s="64">
        <f>$C30*('Last Year Actual'!M30/'Last Year Actual'!$O30)</f>
        <v>3636.2691878133037</v>
      </c>
      <c r="O30" s="64">
        <f>$C30*('Last Year Actual'!N30/'Last Year Actual'!$O30)</f>
        <v>3636.2691878133037</v>
      </c>
      <c r="P30" s="53">
        <f t="shared" si="6"/>
        <v>40000.00000000001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9.5" customHeight="1">
      <c r="A31" s="41"/>
      <c r="B31" s="30" t="s">
        <v>38</v>
      </c>
      <c r="C31" s="20">
        <v>75000</v>
      </c>
      <c r="D31" s="64">
        <f>$C31*('Last Year Actual'!C31/'Last Year Actual'!$O31)</f>
        <v>0.999986666844442</v>
      </c>
      <c r="E31" s="64">
        <f>$C31*('Last Year Actual'!D31/'Last Year Actual'!$O31)</f>
        <v>0</v>
      </c>
      <c r="F31" s="64">
        <f>$C31*('Last Year Actual'!E31/'Last Year Actual'!$O31)</f>
        <v>0</v>
      </c>
      <c r="G31" s="64">
        <f>$C31*('Last Year Actual'!F31/'Last Year Actual'!$O31)</f>
        <v>0</v>
      </c>
      <c r="H31" s="64">
        <f>$C31*('Last Year Actual'!G31/'Last Year Actual'!$O31)</f>
        <v>0</v>
      </c>
      <c r="I31" s="64">
        <f>$C31*('Last Year Actual'!H31/'Last Year Actual'!$O31)</f>
        <v>0</v>
      </c>
      <c r="J31" s="64">
        <f>$C31*('Last Year Actual'!I31/'Last Year Actual'!$O31)</f>
        <v>0</v>
      </c>
      <c r="K31" s="64">
        <f>$C31*('Last Year Actual'!J31/'Last Year Actual'!$O31)</f>
        <v>0</v>
      </c>
      <c r="L31" s="64">
        <f>$C31*('Last Year Actual'!K31/'Last Year Actual'!$O31)</f>
        <v>0</v>
      </c>
      <c r="M31" s="64">
        <f>$C31*('Last Year Actual'!L31/'Last Year Actual'!$O31)</f>
        <v>74999.00001333315</v>
      </c>
      <c r="N31" s="64">
        <f>$C31*('Last Year Actual'!M31/'Last Year Actual'!$O31)</f>
        <v>0</v>
      </c>
      <c r="O31" s="64">
        <f>$C31*('Last Year Actual'!N31/'Last Year Actual'!$O31)</f>
        <v>0</v>
      </c>
      <c r="P31" s="53">
        <f t="shared" si="6"/>
        <v>75000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9.5" customHeight="1">
      <c r="A32" s="41"/>
      <c r="B32" s="30" t="s">
        <v>39</v>
      </c>
      <c r="C32" s="20">
        <v>35000</v>
      </c>
      <c r="D32" s="64">
        <f>$C32*('Last Year Actual'!C32/'Last Year Actual'!$O32)</f>
        <v>0.9090672969533259</v>
      </c>
      <c r="E32" s="64">
        <f>$C32*('Last Year Actual'!D32/'Last Year Actual'!$O32)</f>
        <v>3181.7355393366406</v>
      </c>
      <c r="F32" s="64">
        <f>$C32*('Last Year Actual'!E32/'Last Year Actual'!$O32)</f>
        <v>3181.7355393366406</v>
      </c>
      <c r="G32" s="64">
        <f>$C32*('Last Year Actual'!F32/'Last Year Actual'!$O32)</f>
        <v>3181.7355393366406</v>
      </c>
      <c r="H32" s="64">
        <f>$C32*('Last Year Actual'!G32/'Last Year Actual'!$O32)</f>
        <v>3181.7355393366406</v>
      </c>
      <c r="I32" s="64">
        <f>$C32*('Last Year Actual'!H32/'Last Year Actual'!$O32)</f>
        <v>3181.7355393366406</v>
      </c>
      <c r="J32" s="64">
        <f>$C32*('Last Year Actual'!I32/'Last Year Actual'!$O32)</f>
        <v>3181.7355393366406</v>
      </c>
      <c r="K32" s="64">
        <f>$C32*('Last Year Actual'!J32/'Last Year Actual'!$O32)</f>
        <v>3181.7355393366406</v>
      </c>
      <c r="L32" s="64">
        <f>$C32*('Last Year Actual'!K32/'Last Year Actual'!$O32)</f>
        <v>3181.7355393366406</v>
      </c>
      <c r="M32" s="64">
        <f>$C32*('Last Year Actual'!L32/'Last Year Actual'!$O32)</f>
        <v>3181.7355393366406</v>
      </c>
      <c r="N32" s="64">
        <f>$C32*('Last Year Actual'!M32/'Last Year Actual'!$O32)</f>
        <v>3181.7355393366406</v>
      </c>
      <c r="O32" s="64">
        <f>$C32*('Last Year Actual'!N32/'Last Year Actual'!$O32)</f>
        <v>3181.7355393366406</v>
      </c>
      <c r="P32" s="53">
        <f t="shared" si="6"/>
        <v>35000.00000000001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9.5" customHeight="1">
      <c r="A33" s="41"/>
      <c r="B33" s="30" t="s">
        <v>45</v>
      </c>
      <c r="C33" s="20">
        <v>65000</v>
      </c>
      <c r="D33" s="64">
        <f>$C33*('Last Year Actual'!C33/'Last Year Actual'!$O33)</f>
        <v>0.999984615621298</v>
      </c>
      <c r="E33" s="64">
        <f>$C33*('Last Year Actual'!D33/'Last Year Actual'!$O33)</f>
        <v>0</v>
      </c>
      <c r="F33" s="64">
        <f>$C33*('Last Year Actual'!E33/'Last Year Actual'!$O33)</f>
        <v>0</v>
      </c>
      <c r="G33" s="64">
        <f>$C33*('Last Year Actual'!F33/'Last Year Actual'!$O33)</f>
        <v>0</v>
      </c>
      <c r="H33" s="64">
        <f>$C33*('Last Year Actual'!G33/'Last Year Actual'!$O33)</f>
        <v>0</v>
      </c>
      <c r="I33" s="64">
        <f>$C33*('Last Year Actual'!H33/'Last Year Actual'!$O33)</f>
        <v>0</v>
      </c>
      <c r="J33" s="64">
        <f>$C33*('Last Year Actual'!I33/'Last Year Actual'!$O33)</f>
        <v>0</v>
      </c>
      <c r="K33" s="64">
        <f>$C33*('Last Year Actual'!J33/'Last Year Actual'!$O33)</f>
        <v>0</v>
      </c>
      <c r="L33" s="64">
        <f>$C33*('Last Year Actual'!K33/'Last Year Actual'!$O33)</f>
        <v>64999.00001538438</v>
      </c>
      <c r="M33" s="64">
        <f>$C33*('Last Year Actual'!L33/'Last Year Actual'!$O33)</f>
        <v>0</v>
      </c>
      <c r="N33" s="64">
        <f>$C33*('Last Year Actual'!M33/'Last Year Actual'!$O33)</f>
        <v>0</v>
      </c>
      <c r="O33" s="64">
        <f>$C33*('Last Year Actual'!N33/'Last Year Actual'!$O33)</f>
        <v>0</v>
      </c>
      <c r="P33" s="53">
        <f t="shared" si="6"/>
        <v>65000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9.5" customHeight="1">
      <c r="A34" s="41"/>
      <c r="B34" s="30" t="s">
        <v>36</v>
      </c>
      <c r="C34" s="20"/>
      <c r="D34" s="64">
        <f>$C34*('Last Year Actual'!C34/'Last Year Actual'!$O34)</f>
        <v>0</v>
      </c>
      <c r="E34" s="64">
        <f>$C34*('Last Year Actual'!D34/'Last Year Actual'!$O34)</f>
        <v>0</v>
      </c>
      <c r="F34" s="64">
        <f>$C34*('Last Year Actual'!E34/'Last Year Actual'!$O34)</f>
        <v>0</v>
      </c>
      <c r="G34" s="64">
        <f>$C34*('Last Year Actual'!F34/'Last Year Actual'!$O34)</f>
        <v>0</v>
      </c>
      <c r="H34" s="64">
        <f>$C34*('Last Year Actual'!G34/'Last Year Actual'!$O34)</f>
        <v>0</v>
      </c>
      <c r="I34" s="64">
        <f>$C34*('Last Year Actual'!H34/'Last Year Actual'!$O34)</f>
        <v>0</v>
      </c>
      <c r="J34" s="64">
        <f>$C34*('Last Year Actual'!I34/'Last Year Actual'!$O34)</f>
        <v>0</v>
      </c>
      <c r="K34" s="64">
        <f>$C34*('Last Year Actual'!J34/'Last Year Actual'!$O34)</f>
        <v>0</v>
      </c>
      <c r="L34" s="64">
        <f>$C34*('Last Year Actual'!K34/'Last Year Actual'!$O34)</f>
        <v>0</v>
      </c>
      <c r="M34" s="64">
        <f>$C34*('Last Year Actual'!L34/'Last Year Actual'!$O34)</f>
        <v>0</v>
      </c>
      <c r="N34" s="64">
        <f>$C34*('Last Year Actual'!M34/'Last Year Actual'!$O34)</f>
        <v>0</v>
      </c>
      <c r="O34" s="64">
        <f>$C34*('Last Year Actual'!N34/'Last Year Actual'!$O34)</f>
        <v>0</v>
      </c>
      <c r="P34" s="53">
        <f t="shared" si="6"/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9.5" customHeight="1">
      <c r="A35" s="41"/>
      <c r="B35" s="27" t="s">
        <v>32</v>
      </c>
      <c r="C35" s="20">
        <v>70000</v>
      </c>
      <c r="D35" s="64">
        <f>$C35*('Last Year Actual'!C35/'Last Year Actual'!$O35)</f>
        <v>0.979007286611376</v>
      </c>
      <c r="E35" s="64">
        <f>$C35*('Last Year Actual'!D35/'Last Year Actual'!$O35)</f>
        <v>6363.5473629739445</v>
      </c>
      <c r="F35" s="64">
        <f>$C35*('Last Year Actual'!E35/'Last Year Actual'!$O35)</f>
        <v>6363.5473629739445</v>
      </c>
      <c r="G35" s="64">
        <f>$C35*('Last Year Actual'!F35/'Last Year Actual'!$O35)</f>
        <v>6363.5473629739445</v>
      </c>
      <c r="H35" s="64">
        <f>$C35*('Last Year Actual'!G35/'Last Year Actual'!$O35)</f>
        <v>6363.5473629739445</v>
      </c>
      <c r="I35" s="64">
        <f>$C35*('Last Year Actual'!H35/'Last Year Actual'!$O35)</f>
        <v>6363.5473629739445</v>
      </c>
      <c r="J35" s="64">
        <f>$C35*('Last Year Actual'!I35/'Last Year Actual'!$O35)</f>
        <v>6363.5473629739445</v>
      </c>
      <c r="K35" s="64">
        <f>$C35*('Last Year Actual'!J35/'Last Year Actual'!$O35)</f>
        <v>6363.5473629739445</v>
      </c>
      <c r="L35" s="64">
        <f>$C35*('Last Year Actual'!K35/'Last Year Actual'!$O35)</f>
        <v>6363.5473629739445</v>
      </c>
      <c r="M35" s="64">
        <f>$C35*('Last Year Actual'!L35/'Last Year Actual'!$O35)</f>
        <v>6363.5473629739445</v>
      </c>
      <c r="N35" s="64">
        <f>$C35*('Last Year Actual'!M35/'Last Year Actual'!$O35)</f>
        <v>6363.5473629739445</v>
      </c>
      <c r="O35" s="64">
        <f>$C35*('Last Year Actual'!N35/'Last Year Actual'!$O35)</f>
        <v>6363.5473629739445</v>
      </c>
      <c r="P35" s="53">
        <f t="shared" si="6"/>
        <v>69999.99999999999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9.5" customHeight="1">
      <c r="A36" s="41"/>
      <c r="B36" s="27" t="s">
        <v>33</v>
      </c>
      <c r="C36" s="20"/>
      <c r="D36" s="64">
        <f>$C36*('Last Year Actual'!C36/'Last Year Actual'!$O36)</f>
        <v>0</v>
      </c>
      <c r="E36" s="64">
        <f>$C36*('Last Year Actual'!D36/'Last Year Actual'!$O36)</f>
        <v>0</v>
      </c>
      <c r="F36" s="64">
        <f>$C36*('Last Year Actual'!E36/'Last Year Actual'!$O36)</f>
        <v>0</v>
      </c>
      <c r="G36" s="64">
        <f>$C36*('Last Year Actual'!F36/'Last Year Actual'!$O36)</f>
        <v>0</v>
      </c>
      <c r="H36" s="64">
        <f>$C36*('Last Year Actual'!G36/'Last Year Actual'!$O36)</f>
        <v>0</v>
      </c>
      <c r="I36" s="64">
        <f>$C36*('Last Year Actual'!H36/'Last Year Actual'!$O36)</f>
        <v>0</v>
      </c>
      <c r="J36" s="64">
        <f>$C36*('Last Year Actual'!I36/'Last Year Actual'!$O36)</f>
        <v>0</v>
      </c>
      <c r="K36" s="64">
        <f>$C36*('Last Year Actual'!J36/'Last Year Actual'!$O36)</f>
        <v>0</v>
      </c>
      <c r="L36" s="64">
        <f>$C36*('Last Year Actual'!K36/'Last Year Actual'!$O36)</f>
        <v>0</v>
      </c>
      <c r="M36" s="64">
        <f>$C36*('Last Year Actual'!L36/'Last Year Actual'!$O36)</f>
        <v>0</v>
      </c>
      <c r="N36" s="64">
        <f>$C36*('Last Year Actual'!M36/'Last Year Actual'!$O36)</f>
        <v>0</v>
      </c>
      <c r="O36" s="64">
        <f>$C36*('Last Year Actual'!N36/'Last Year Actual'!$O36)</f>
        <v>0</v>
      </c>
      <c r="P36" s="53">
        <f t="shared" si="6"/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26.25" customHeight="1">
      <c r="A37" s="41"/>
      <c r="B37" s="62" t="s">
        <v>37</v>
      </c>
      <c r="C37" s="20"/>
      <c r="D37" s="64">
        <f>$C37*('Last Year Actual'!C37/'Last Year Actual'!$O37)</f>
        <v>0</v>
      </c>
      <c r="E37" s="64">
        <f>$C37*('Last Year Actual'!D37/'Last Year Actual'!$O37)</f>
        <v>0</v>
      </c>
      <c r="F37" s="64">
        <f>$C37*('Last Year Actual'!E37/'Last Year Actual'!$O37)</f>
        <v>0</v>
      </c>
      <c r="G37" s="64">
        <f>$C37*('Last Year Actual'!F37/'Last Year Actual'!$O37)</f>
        <v>0</v>
      </c>
      <c r="H37" s="64">
        <f>$C37*('Last Year Actual'!G37/'Last Year Actual'!$O37)</f>
        <v>0</v>
      </c>
      <c r="I37" s="64">
        <f>$C37*('Last Year Actual'!H37/'Last Year Actual'!$O37)</f>
        <v>0</v>
      </c>
      <c r="J37" s="64">
        <f>$C37*('Last Year Actual'!I37/'Last Year Actual'!$O37)</f>
        <v>0</v>
      </c>
      <c r="K37" s="64">
        <f>$C37*('Last Year Actual'!J37/'Last Year Actual'!$O37)</f>
        <v>0</v>
      </c>
      <c r="L37" s="64">
        <f>$C37*('Last Year Actual'!K37/'Last Year Actual'!$O37)</f>
        <v>0</v>
      </c>
      <c r="M37" s="64">
        <f>$C37*('Last Year Actual'!L37/'Last Year Actual'!$O37)</f>
        <v>0</v>
      </c>
      <c r="N37" s="64">
        <f>$C37*('Last Year Actual'!M37/'Last Year Actual'!$O37)</f>
        <v>0</v>
      </c>
      <c r="O37" s="64">
        <f>$C37*('Last Year Actual'!N37/'Last Year Actual'!$O37)</f>
        <v>0</v>
      </c>
      <c r="P37" s="53">
        <f t="shared" si="6"/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9.5" customHeight="1" thickBot="1">
      <c r="A38" s="54"/>
      <c r="B38" s="63" t="s">
        <v>34</v>
      </c>
      <c r="C38" s="20"/>
      <c r="D38" s="64">
        <f>$C38*('Last Year Actual'!C38/'Last Year Actual'!$O38)</f>
        <v>0</v>
      </c>
      <c r="E38" s="64">
        <f>$C38*('Last Year Actual'!D38/'Last Year Actual'!$O38)</f>
        <v>0</v>
      </c>
      <c r="F38" s="64">
        <f>$C38*('Last Year Actual'!E38/'Last Year Actual'!$O38)</f>
        <v>0</v>
      </c>
      <c r="G38" s="64">
        <f>$C38*('Last Year Actual'!F38/'Last Year Actual'!$O38)</f>
        <v>0</v>
      </c>
      <c r="H38" s="64">
        <f>$C38*('Last Year Actual'!G38/'Last Year Actual'!$O38)</f>
        <v>0</v>
      </c>
      <c r="I38" s="64">
        <f>$C38*('Last Year Actual'!H38/'Last Year Actual'!$O38)</f>
        <v>0</v>
      </c>
      <c r="J38" s="64">
        <f>$C38*('Last Year Actual'!I38/'Last Year Actual'!$O38)</f>
        <v>0</v>
      </c>
      <c r="K38" s="64">
        <f>$C38*('Last Year Actual'!J38/'Last Year Actual'!$O38)</f>
        <v>0</v>
      </c>
      <c r="L38" s="64">
        <f>$C38*('Last Year Actual'!K38/'Last Year Actual'!$O38)</f>
        <v>0</v>
      </c>
      <c r="M38" s="64">
        <f>$C38*('Last Year Actual'!L38/'Last Year Actual'!$O38)</f>
        <v>0</v>
      </c>
      <c r="N38" s="64">
        <f>$C38*('Last Year Actual'!M38/'Last Year Actual'!$O38)</f>
        <v>0</v>
      </c>
      <c r="O38" s="64">
        <f>$C38*('Last Year Actual'!N38/'Last Year Actual'!$O38)</f>
        <v>0</v>
      </c>
      <c r="P38" s="53">
        <f t="shared" si="6"/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ht="10.5" customHeight="1" thickBot="1"/>
    <row r="40" spans="1:16" ht="24" customHeight="1" thickBot="1">
      <c r="A40" s="60"/>
      <c r="B40" s="57" t="s">
        <v>84</v>
      </c>
      <c r="C40" s="58">
        <f aca="true" t="shared" si="7" ref="C40:P40">C6-C26</f>
        <v>-138502.04000000004</v>
      </c>
      <c r="D40" s="58">
        <f t="shared" si="7"/>
        <v>300496.2233366981</v>
      </c>
      <c r="E40" s="58">
        <f t="shared" si="7"/>
        <v>78424.36629036986</v>
      </c>
      <c r="F40" s="58">
        <f t="shared" si="7"/>
        <v>-4908.9855612392275</v>
      </c>
      <c r="G40" s="58">
        <f t="shared" si="7"/>
        <v>-129908.73556173922</v>
      </c>
      <c r="H40" s="58">
        <f t="shared" si="7"/>
        <v>78424.36629036986</v>
      </c>
      <c r="I40" s="58">
        <f t="shared" si="7"/>
        <v>-74910.93547374273</v>
      </c>
      <c r="J40" s="58">
        <f t="shared" si="7"/>
        <v>-129908.73556173922</v>
      </c>
      <c r="K40" s="58">
        <f t="shared" si="7"/>
        <v>36757.745919948036</v>
      </c>
      <c r="L40" s="58">
        <f t="shared" si="7"/>
        <v>-128241.36520543635</v>
      </c>
      <c r="M40" s="58">
        <f t="shared" si="7"/>
        <v>-71574.99483169787</v>
      </c>
      <c r="N40" s="58">
        <f t="shared" si="7"/>
        <v>36757.745919948036</v>
      </c>
      <c r="O40" s="58">
        <f t="shared" si="7"/>
        <v>-129908.73556173922</v>
      </c>
      <c r="P40" s="59">
        <f t="shared" si="7"/>
        <v>-138502.04000000004</v>
      </c>
    </row>
    <row r="41" ht="12.75" customHeight="1">
      <c r="B41" s="14" t="s">
        <v>40</v>
      </c>
    </row>
    <row r="43" ht="18" customHeight="1">
      <c r="B43" s="45" t="s">
        <v>46</v>
      </c>
    </row>
  </sheetData>
  <sheetProtection/>
  <mergeCells count="1">
    <mergeCell ref="A2:O2"/>
  </mergeCells>
  <printOptions/>
  <pageMargins left="0.5" right="0.5" top="0.5" bottom="0.75" header="0.25" footer="0.25"/>
  <pageSetup fitToHeight="1" fitToWidth="1" horizontalDpi="600" verticalDpi="600" orientation="landscape" scale="10" r:id="rId2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5"/>
  <sheetViews>
    <sheetView zoomScalePageLayoutView="0" workbookViewId="0" topLeftCell="A1">
      <selection activeCell="B4" sqref="B4"/>
    </sheetView>
  </sheetViews>
  <sheetFormatPr defaultColWidth="16.28125" defaultRowHeight="12.75" customHeight="1"/>
  <cols>
    <col min="1" max="1" width="1.7109375" style="6" customWidth="1"/>
    <col min="2" max="2" width="31.7109375" style="6" customWidth="1"/>
    <col min="3" max="3" width="15.7109375" style="6" customWidth="1"/>
    <col min="4" max="12" width="15.00390625" style="6" customWidth="1"/>
    <col min="13" max="13" width="16.00390625" style="6" customWidth="1"/>
    <col min="14" max="252" width="16.421875" style="6" customWidth="1"/>
    <col min="253" max="16384" width="16.28125" style="9" customWidth="1"/>
  </cols>
  <sheetData>
    <row r="1" spans="2:11" ht="32.25" customHeight="1">
      <c r="B1" s="47" t="s">
        <v>47</v>
      </c>
      <c r="I1" s="46"/>
      <c r="K1" s="49" t="s">
        <v>48</v>
      </c>
    </row>
    <row r="2" spans="1:252" s="8" customFormat="1" ht="22.5" customHeight="1">
      <c r="A2" s="106" t="s">
        <v>53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10" t="s">
        <v>83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="4" customFormat="1" ht="27" customHeight="1">
      <c r="B3" s="25" t="s">
        <v>107</v>
      </c>
    </row>
    <row r="4" spans="1:13" s="4" customFormat="1" ht="16.5" customHeight="1">
      <c r="A4" s="22"/>
      <c r="C4" s="65" t="s">
        <v>52</v>
      </c>
      <c r="D4" s="65" t="s">
        <v>10</v>
      </c>
      <c r="E4" s="65" t="s">
        <v>11</v>
      </c>
      <c r="F4" s="65" t="s">
        <v>12</v>
      </c>
      <c r="G4" s="65" t="s">
        <v>1</v>
      </c>
      <c r="H4" s="65" t="s">
        <v>2</v>
      </c>
      <c r="I4" s="65" t="s">
        <v>3</v>
      </c>
      <c r="J4" s="65" t="s">
        <v>4</v>
      </c>
      <c r="K4" s="65" t="s">
        <v>5</v>
      </c>
      <c r="L4" s="65" t="s">
        <v>6</v>
      </c>
      <c r="M4" s="24" t="s">
        <v>35</v>
      </c>
    </row>
    <row r="5" spans="1:252" ht="5.25" customHeight="1" thickBot="1">
      <c r="A5" s="10"/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ht="19.5" customHeight="1">
      <c r="A6" s="15" t="s">
        <v>13</v>
      </c>
      <c r="B6" s="16"/>
      <c r="C6" s="32">
        <f aca="true" t="shared" si="0" ref="C6:M6">C7+C17</f>
        <v>1063834.4074032512</v>
      </c>
      <c r="D6" s="32">
        <f t="shared" si="0"/>
        <v>600</v>
      </c>
      <c r="E6" s="32">
        <f t="shared" si="0"/>
        <v>0</v>
      </c>
      <c r="F6" s="32">
        <f t="shared" si="0"/>
        <v>75000</v>
      </c>
      <c r="G6" s="32">
        <f t="shared" si="0"/>
        <v>105000</v>
      </c>
      <c r="H6" s="32">
        <f t="shared" si="0"/>
        <v>30000</v>
      </c>
      <c r="I6" s="32">
        <f t="shared" si="0"/>
        <v>55000</v>
      </c>
      <c r="J6" s="32">
        <f t="shared" si="0"/>
        <v>20000</v>
      </c>
      <c r="K6" s="33">
        <f t="shared" si="0"/>
        <v>30000</v>
      </c>
      <c r="L6" s="32">
        <f t="shared" si="0"/>
        <v>7500</v>
      </c>
      <c r="M6" s="34">
        <f t="shared" si="0"/>
        <v>1386934.4074032512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13" s="4" customFormat="1" ht="19.5" customHeight="1">
      <c r="A7" s="40"/>
      <c r="B7" s="26" t="s">
        <v>14</v>
      </c>
      <c r="C7" s="7">
        <f aca="true" t="shared" si="1" ref="C7:M7">SUM(C8:C15)</f>
        <v>863334.4074032512</v>
      </c>
      <c r="D7" s="7">
        <f t="shared" si="1"/>
        <v>600</v>
      </c>
      <c r="E7" s="7">
        <f t="shared" si="1"/>
        <v>0</v>
      </c>
      <c r="F7" s="7">
        <f t="shared" si="1"/>
        <v>75000</v>
      </c>
      <c r="G7" s="7">
        <f t="shared" si="1"/>
        <v>100000</v>
      </c>
      <c r="H7" s="7">
        <f t="shared" si="1"/>
        <v>25000</v>
      </c>
      <c r="I7" s="7">
        <f t="shared" si="1"/>
        <v>40000</v>
      </c>
      <c r="J7" s="7">
        <f t="shared" si="1"/>
        <v>15000</v>
      </c>
      <c r="K7" s="7">
        <f t="shared" si="1"/>
        <v>25000</v>
      </c>
      <c r="L7" s="7">
        <f t="shared" si="1"/>
        <v>2500</v>
      </c>
      <c r="M7" s="35">
        <f t="shared" si="1"/>
        <v>1146434.4074032512</v>
      </c>
    </row>
    <row r="8" spans="1:252" ht="19.5" customHeight="1">
      <c r="A8" s="41"/>
      <c r="B8" s="27" t="s">
        <v>15</v>
      </c>
      <c r="C8" s="67">
        <f>SUM('Current Year Budget'!D8:K8)</f>
        <v>583333.5185183128</v>
      </c>
      <c r="D8" s="67"/>
      <c r="E8" s="67"/>
      <c r="F8" s="67">
        <v>75000</v>
      </c>
      <c r="G8" s="67">
        <v>75000</v>
      </c>
      <c r="H8" s="67"/>
      <c r="I8" s="67"/>
      <c r="J8" s="67"/>
      <c r="K8" s="67"/>
      <c r="L8" s="67"/>
      <c r="M8" s="36">
        <f>SUM(C8:L8)</f>
        <v>733333.5185183128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19.5" customHeight="1">
      <c r="A9" s="41"/>
      <c r="B9" s="27" t="s">
        <v>16</v>
      </c>
      <c r="C9" s="67">
        <f>SUM('Current Year Budget'!D9:K9)</f>
        <v>124999.99999999999</v>
      </c>
      <c r="D9" s="67"/>
      <c r="E9" s="67"/>
      <c r="F9" s="67"/>
      <c r="G9" s="67">
        <v>25000</v>
      </c>
      <c r="H9" s="67">
        <v>25000</v>
      </c>
      <c r="I9" s="67">
        <v>25000</v>
      </c>
      <c r="J9" s="67"/>
      <c r="K9" s="67"/>
      <c r="L9" s="67"/>
      <c r="M9" s="36">
        <f>SUM(C9:L9)</f>
        <v>200000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19.5" customHeight="1">
      <c r="A10" s="41"/>
      <c r="B10" s="27" t="s">
        <v>17</v>
      </c>
      <c r="C10" s="67">
        <f>SUM('Current Year Budget'!D10:K10)</f>
        <v>0</v>
      </c>
      <c r="D10" s="67"/>
      <c r="E10" s="67"/>
      <c r="F10" s="67"/>
      <c r="G10" s="67"/>
      <c r="H10" s="67"/>
      <c r="I10" s="67"/>
      <c r="J10" s="67"/>
      <c r="K10" s="67"/>
      <c r="L10" s="67"/>
      <c r="M10" s="36">
        <f>SUM(C10:L10)</f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19.5" customHeight="1">
      <c r="A11" s="17"/>
      <c r="B11" s="12" t="s">
        <v>18</v>
      </c>
      <c r="C11" s="67">
        <f>SUM('Current Year Budget'!D11:K11)</f>
        <v>55000</v>
      </c>
      <c r="D11" s="67">
        <v>600</v>
      </c>
      <c r="E11" s="67"/>
      <c r="F11" s="67"/>
      <c r="G11" s="67"/>
      <c r="H11" s="67"/>
      <c r="I11" s="67"/>
      <c r="J11" s="67"/>
      <c r="K11" s="67"/>
      <c r="L11" s="67">
        <v>2500</v>
      </c>
      <c r="M11" s="36">
        <f>SUM(C11:L11)</f>
        <v>58100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19.5" customHeight="1">
      <c r="A12" s="42"/>
      <c r="B12" s="28" t="s">
        <v>19</v>
      </c>
      <c r="C12" s="67">
        <f>SUM('Current Year Budget'!D12:K12)</f>
        <v>0</v>
      </c>
      <c r="D12" s="67"/>
      <c r="E12" s="67"/>
      <c r="F12" s="67"/>
      <c r="G12" s="67"/>
      <c r="H12" s="67"/>
      <c r="I12" s="67"/>
      <c r="J12" s="67"/>
      <c r="K12" s="67"/>
      <c r="L12" s="67"/>
      <c r="M12" s="36">
        <f>SUM(C12:L12)</f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9.5" customHeight="1">
      <c r="A13" s="42"/>
      <c r="B13" s="28" t="s">
        <v>20</v>
      </c>
      <c r="C13" s="67">
        <f>SUM('Current Year Budget'!D13:K13)</f>
        <v>0</v>
      </c>
      <c r="D13" s="67"/>
      <c r="E13" s="67"/>
      <c r="F13" s="67"/>
      <c r="G13" s="67"/>
      <c r="H13" s="67"/>
      <c r="I13" s="67"/>
      <c r="J13" s="67"/>
      <c r="K13" s="67"/>
      <c r="L13" s="67"/>
      <c r="M13" s="36">
        <f>SUM(C13:L13)</f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19.5" customHeight="1">
      <c r="A14" s="43"/>
      <c r="B14" s="29" t="s">
        <v>21</v>
      </c>
      <c r="C14" s="67">
        <f>SUM('Current Year Budget'!D14:K14)</f>
        <v>100000</v>
      </c>
      <c r="D14" s="67"/>
      <c r="E14" s="67">
        <v>0</v>
      </c>
      <c r="F14" s="67"/>
      <c r="G14" s="67"/>
      <c r="H14" s="67"/>
      <c r="I14" s="67"/>
      <c r="J14" s="67"/>
      <c r="K14" s="67">
        <v>25000</v>
      </c>
      <c r="L14" s="67"/>
      <c r="M14" s="36">
        <f>SUM(C14:L14)</f>
        <v>125000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19.5" customHeight="1">
      <c r="A15" s="41"/>
      <c r="B15" s="30" t="s">
        <v>43</v>
      </c>
      <c r="C15" s="67">
        <f>SUM('Current Year Budget'!D15:K15)</f>
        <v>0.8888849382891632</v>
      </c>
      <c r="D15" s="67"/>
      <c r="E15" s="67"/>
      <c r="F15" s="67"/>
      <c r="G15" s="67"/>
      <c r="H15" s="67"/>
      <c r="I15" s="67">
        <v>15000</v>
      </c>
      <c r="J15" s="67">
        <v>15000</v>
      </c>
      <c r="K15" s="67"/>
      <c r="L15" s="67"/>
      <c r="M15" s="36">
        <f>SUM(C15:L15)</f>
        <v>30000.88888493829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3.75" customHeight="1">
      <c r="A16" s="17"/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3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13" s="4" customFormat="1" ht="19.5" customHeight="1">
      <c r="A17" s="31"/>
      <c r="B17" s="11" t="s">
        <v>22</v>
      </c>
      <c r="C17" s="7">
        <f aca="true" t="shared" si="2" ref="C17:M17">SUM(C18:C24)</f>
        <v>200500</v>
      </c>
      <c r="D17" s="7">
        <f t="shared" si="2"/>
        <v>0</v>
      </c>
      <c r="E17" s="7">
        <f t="shared" si="2"/>
        <v>0</v>
      </c>
      <c r="F17" s="7">
        <f t="shared" si="2"/>
        <v>0</v>
      </c>
      <c r="G17" s="7">
        <f t="shared" si="2"/>
        <v>5000</v>
      </c>
      <c r="H17" s="7">
        <f t="shared" si="2"/>
        <v>5000</v>
      </c>
      <c r="I17" s="7">
        <f t="shared" si="2"/>
        <v>15000</v>
      </c>
      <c r="J17" s="7">
        <f t="shared" si="2"/>
        <v>5000</v>
      </c>
      <c r="K17" s="7">
        <f t="shared" si="2"/>
        <v>5000</v>
      </c>
      <c r="L17" s="7">
        <f t="shared" si="2"/>
        <v>5000</v>
      </c>
      <c r="M17" s="35">
        <f t="shared" si="2"/>
        <v>240500</v>
      </c>
    </row>
    <row r="18" spans="1:252" ht="19.5" customHeight="1">
      <c r="A18" s="41"/>
      <c r="B18" s="27" t="s">
        <v>23</v>
      </c>
      <c r="C18" s="67">
        <f>SUM('Current Year Budget'!D18:K18)</f>
        <v>0</v>
      </c>
      <c r="D18" s="67"/>
      <c r="E18" s="67"/>
      <c r="F18" s="67"/>
      <c r="G18" s="67"/>
      <c r="H18" s="67"/>
      <c r="I18" s="67"/>
      <c r="J18" s="67"/>
      <c r="K18" s="67"/>
      <c r="L18" s="67"/>
      <c r="M18" s="36">
        <f>SUM(C18:L18)</f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ht="19.5" customHeight="1">
      <c r="A19" s="17"/>
      <c r="B19" s="12" t="s">
        <v>24</v>
      </c>
      <c r="C19" s="67">
        <f>SUM('Current Year Budget'!D19:K19)</f>
        <v>0</v>
      </c>
      <c r="D19" s="67"/>
      <c r="E19" s="67"/>
      <c r="F19" s="67"/>
      <c r="G19" s="67"/>
      <c r="H19" s="67"/>
      <c r="I19" s="67"/>
      <c r="J19" s="67"/>
      <c r="K19" s="67"/>
      <c r="L19" s="67"/>
      <c r="M19" s="36">
        <f>SUM(C19:L19)</f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ht="19.5" customHeight="1">
      <c r="A20" s="41"/>
      <c r="B20" s="27" t="s">
        <v>25</v>
      </c>
      <c r="C20" s="67">
        <f>SUM('Current Year Budget'!D20:K20)</f>
        <v>0</v>
      </c>
      <c r="D20" s="67"/>
      <c r="E20" s="67"/>
      <c r="F20" s="67"/>
      <c r="G20" s="67"/>
      <c r="H20" s="67"/>
      <c r="I20" s="67"/>
      <c r="J20" s="67"/>
      <c r="K20" s="67"/>
      <c r="L20" s="67"/>
      <c r="M20" s="36">
        <f>SUM(C20:L20)</f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ht="19.5" customHeight="1">
      <c r="A21" s="17"/>
      <c r="B21" s="13" t="s">
        <v>41</v>
      </c>
      <c r="C21" s="67">
        <f>SUM('Current Year Budget'!D21:K21)</f>
        <v>190000</v>
      </c>
      <c r="D21" s="67"/>
      <c r="E21" s="67"/>
      <c r="F21" s="67"/>
      <c r="G21" s="67">
        <v>5000</v>
      </c>
      <c r="H21" s="67">
        <v>5000</v>
      </c>
      <c r="I21" s="67">
        <v>15000</v>
      </c>
      <c r="J21" s="67">
        <v>5000</v>
      </c>
      <c r="K21" s="67">
        <v>5000</v>
      </c>
      <c r="L21" s="67">
        <v>5000</v>
      </c>
      <c r="M21" s="36">
        <f>SUM(C21:L21)</f>
        <v>230000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ht="19.5" customHeight="1">
      <c r="A22" s="41"/>
      <c r="B22" s="30" t="s">
        <v>42</v>
      </c>
      <c r="C22" s="67">
        <f>SUM('Current Year Budget'!D22:K22)</f>
        <v>0</v>
      </c>
      <c r="D22" s="67"/>
      <c r="E22" s="67"/>
      <c r="F22" s="67"/>
      <c r="G22" s="67"/>
      <c r="H22" s="67"/>
      <c r="I22" s="67"/>
      <c r="J22" s="67"/>
      <c r="K22" s="67"/>
      <c r="L22" s="67"/>
      <c r="M22" s="36">
        <f>SUM(C22:L22)</f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ht="19.5" customHeight="1">
      <c r="A23" s="41"/>
      <c r="B23" s="27" t="s">
        <v>26</v>
      </c>
      <c r="C23" s="67">
        <f>SUM('Current Year Budget'!D23:K23)</f>
        <v>10500</v>
      </c>
      <c r="D23" s="67"/>
      <c r="E23" s="67"/>
      <c r="F23" s="67"/>
      <c r="G23" s="67"/>
      <c r="H23" s="67"/>
      <c r="I23" s="67"/>
      <c r="J23" s="67"/>
      <c r="K23" s="67"/>
      <c r="L23" s="67"/>
      <c r="M23" s="36">
        <f>SUM(C23:L23)</f>
        <v>10500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ht="19.5" customHeight="1" thickBot="1">
      <c r="A24" s="18"/>
      <c r="B24" s="19" t="s">
        <v>27</v>
      </c>
      <c r="C24" s="67">
        <f>SUM('Current Year Budget'!D24:K24)</f>
        <v>0</v>
      </c>
      <c r="D24" s="67"/>
      <c r="E24" s="67"/>
      <c r="F24" s="67"/>
      <c r="G24" s="67"/>
      <c r="H24" s="67"/>
      <c r="I24" s="67"/>
      <c r="J24" s="67"/>
      <c r="K24" s="67"/>
      <c r="L24" s="67"/>
      <c r="M24" s="39">
        <f>SUM(C24:L24)</f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ht="11.25" customHeight="1" thickBot="1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ht="19.5" customHeight="1">
      <c r="A26" s="50" t="s">
        <v>88</v>
      </c>
      <c r="B26" s="61"/>
      <c r="C26" s="51">
        <f aca="true" t="shared" si="3" ref="C26:M26">SUM(C27:C38)</f>
        <v>909369.0977243257</v>
      </c>
      <c r="D26" s="51">
        <f t="shared" si="3"/>
        <v>40000</v>
      </c>
      <c r="E26" s="51">
        <f t="shared" si="3"/>
        <v>60999</v>
      </c>
      <c r="F26" s="51">
        <f t="shared" si="3"/>
        <v>41500</v>
      </c>
      <c r="G26" s="51">
        <f t="shared" si="3"/>
        <v>35000</v>
      </c>
      <c r="H26" s="51">
        <f t="shared" si="3"/>
        <v>62000</v>
      </c>
      <c r="I26" s="51">
        <f t="shared" si="3"/>
        <v>35000</v>
      </c>
      <c r="J26" s="51">
        <f t="shared" si="3"/>
        <v>37700</v>
      </c>
      <c r="K26" s="51">
        <f t="shared" si="3"/>
        <v>34000</v>
      </c>
      <c r="L26" s="51">
        <f t="shared" si="3"/>
        <v>35000</v>
      </c>
      <c r="M26" s="52">
        <f t="shared" si="3"/>
        <v>1290568.097724326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ht="19.5" customHeight="1">
      <c r="A27" s="41"/>
      <c r="B27" s="27" t="s">
        <v>28</v>
      </c>
      <c r="C27" s="67">
        <f>SUM('Current Year Budget'!D27:K27)</f>
        <v>535501.02</v>
      </c>
      <c r="D27" s="20">
        <v>15000</v>
      </c>
      <c r="E27" s="20">
        <v>35000</v>
      </c>
      <c r="F27" s="20">
        <v>35000</v>
      </c>
      <c r="G27" s="20">
        <v>35000</v>
      </c>
      <c r="H27" s="20">
        <v>35000</v>
      </c>
      <c r="I27" s="20">
        <v>35000</v>
      </c>
      <c r="J27" s="20">
        <v>35000</v>
      </c>
      <c r="K27" s="20">
        <v>25000</v>
      </c>
      <c r="L27" s="20">
        <v>25000</v>
      </c>
      <c r="M27" s="53">
        <f>SUM(C27:L27)</f>
        <v>810501.02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ht="19.5" customHeight="1">
      <c r="A28" s="41"/>
      <c r="B28" s="27" t="s">
        <v>29</v>
      </c>
      <c r="C28" s="67">
        <f>SUM('Current Year Budget'!D28:K28)</f>
        <v>178501.02000000002</v>
      </c>
      <c r="D28" s="20"/>
      <c r="E28" s="20"/>
      <c r="F28" s="20"/>
      <c r="G28" s="20"/>
      <c r="H28" s="20"/>
      <c r="I28" s="20"/>
      <c r="J28" s="20"/>
      <c r="K28" s="20"/>
      <c r="L28" s="20"/>
      <c r="M28" s="53">
        <f>SUM(C28:L28)</f>
        <v>178501.02000000002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ht="19.5" customHeight="1">
      <c r="A29" s="41"/>
      <c r="B29" s="27" t="s">
        <v>30</v>
      </c>
      <c r="C29" s="67">
        <f>SUM('Current Year Budget'!D29:K29)</f>
        <v>103091.2661135387</v>
      </c>
      <c r="D29" s="20"/>
      <c r="E29" s="20"/>
      <c r="F29" s="20"/>
      <c r="G29" s="20"/>
      <c r="H29" s="20"/>
      <c r="I29" s="20"/>
      <c r="J29" s="20"/>
      <c r="K29" s="20"/>
      <c r="L29" s="20"/>
      <c r="M29" s="53">
        <f>SUM(C29:L29)</f>
        <v>103091.2661135387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ht="19.5" customHeight="1">
      <c r="A30" s="41"/>
      <c r="B30" s="27" t="s">
        <v>31</v>
      </c>
      <c r="C30" s="67">
        <f>SUM('Current Year Budget'!D30:K30)</f>
        <v>25454.92324874679</v>
      </c>
      <c r="D30" s="20">
        <v>25000</v>
      </c>
      <c r="E30" s="20"/>
      <c r="F30" s="20"/>
      <c r="G30" s="20"/>
      <c r="H30" s="20"/>
      <c r="I30" s="20"/>
      <c r="J30" s="20"/>
      <c r="K30" s="20"/>
      <c r="L30" s="20"/>
      <c r="M30" s="53">
        <f>SUM(C30:L30)</f>
        <v>50454.92324874679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ht="19.5" customHeight="1">
      <c r="A31" s="41"/>
      <c r="B31" s="30" t="s">
        <v>38</v>
      </c>
      <c r="C31" s="67">
        <f>SUM('Current Year Budget'!D31:K31)</f>
        <v>0.999986666844442</v>
      </c>
      <c r="D31" s="20"/>
      <c r="E31" s="20">
        <v>25999</v>
      </c>
      <c r="F31" s="20"/>
      <c r="G31" s="20"/>
      <c r="H31" s="20"/>
      <c r="I31" s="20"/>
      <c r="J31" s="20"/>
      <c r="K31" s="20"/>
      <c r="L31" s="20"/>
      <c r="M31" s="53">
        <f>SUM(C31:L31)</f>
        <v>25999.999986666844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ht="19.5" customHeight="1">
      <c r="A32" s="41"/>
      <c r="B32" s="30" t="s">
        <v>39</v>
      </c>
      <c r="C32" s="67">
        <f>SUM('Current Year Budget'!D32:K32)</f>
        <v>22273.05784265344</v>
      </c>
      <c r="D32" s="20"/>
      <c r="E32" s="20"/>
      <c r="F32" s="20"/>
      <c r="G32" s="20"/>
      <c r="H32" s="20"/>
      <c r="I32" s="20"/>
      <c r="J32" s="20">
        <v>2700</v>
      </c>
      <c r="K32" s="20">
        <v>9000</v>
      </c>
      <c r="L32" s="20">
        <v>10000</v>
      </c>
      <c r="M32" s="53">
        <f>SUM(C32:L32)</f>
        <v>43973.05784265344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ht="19.5" customHeight="1">
      <c r="A33" s="41"/>
      <c r="B33" s="30" t="s">
        <v>45</v>
      </c>
      <c r="C33" s="67">
        <f>SUM('Current Year Budget'!D33:K33)</f>
        <v>0.999984615621298</v>
      </c>
      <c r="D33" s="20"/>
      <c r="E33" s="20"/>
      <c r="F33" s="20">
        <v>6500</v>
      </c>
      <c r="G33" s="20"/>
      <c r="H33" s="20"/>
      <c r="I33" s="20"/>
      <c r="J33" s="20"/>
      <c r="K33" s="20"/>
      <c r="L33" s="20"/>
      <c r="M33" s="53">
        <f>SUM(C33:L33)</f>
        <v>6500.9999846156215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ht="19.5" customHeight="1">
      <c r="A34" s="41"/>
      <c r="B34" s="30" t="s">
        <v>36</v>
      </c>
      <c r="C34" s="67">
        <f>SUM('Current Year Budget'!D34:K34)</f>
        <v>0</v>
      </c>
      <c r="D34" s="20"/>
      <c r="E34" s="20"/>
      <c r="F34" s="20"/>
      <c r="G34" s="20"/>
      <c r="H34" s="20">
        <v>27000</v>
      </c>
      <c r="I34" s="20"/>
      <c r="J34" s="20"/>
      <c r="K34" s="20"/>
      <c r="L34" s="20"/>
      <c r="M34" s="53">
        <f>SUM(C34:L34)</f>
        <v>27000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ht="19.5" customHeight="1">
      <c r="A35" s="41"/>
      <c r="B35" s="27" t="s">
        <v>32</v>
      </c>
      <c r="C35" s="67">
        <f>SUM('Current Year Budget'!D35:K35)</f>
        <v>44545.810548104215</v>
      </c>
      <c r="D35" s="20"/>
      <c r="E35" s="20"/>
      <c r="F35" s="20"/>
      <c r="G35" s="20"/>
      <c r="H35" s="20"/>
      <c r="I35" s="20"/>
      <c r="J35" s="20"/>
      <c r="K35" s="20"/>
      <c r="L35" s="20"/>
      <c r="M35" s="53">
        <f>SUM(C35:L35)</f>
        <v>44545.810548104215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ht="19.5" customHeight="1">
      <c r="A36" s="41"/>
      <c r="B36" s="27" t="s">
        <v>33</v>
      </c>
      <c r="C36" s="67">
        <f>SUM('Current Year Budget'!D36:K36)</f>
        <v>0</v>
      </c>
      <c r="D36" s="20"/>
      <c r="E36" s="20"/>
      <c r="F36" s="20"/>
      <c r="G36" s="20"/>
      <c r="H36" s="20"/>
      <c r="I36" s="20"/>
      <c r="J36" s="20"/>
      <c r="K36" s="20"/>
      <c r="L36" s="20"/>
      <c r="M36" s="53">
        <f>SUM(C36:L36)</f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ht="26.25" customHeight="1">
      <c r="A37" s="41"/>
      <c r="B37" s="62" t="s">
        <v>37</v>
      </c>
      <c r="C37" s="67">
        <f>SUM('Current Year Budget'!D37:K37)</f>
        <v>0</v>
      </c>
      <c r="D37" s="20"/>
      <c r="E37" s="20"/>
      <c r="F37" s="20"/>
      <c r="G37" s="20"/>
      <c r="H37" s="20"/>
      <c r="I37" s="20"/>
      <c r="J37" s="20"/>
      <c r="K37" s="20"/>
      <c r="L37" s="20"/>
      <c r="M37" s="53">
        <f>SUM(C37:L37)</f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ht="19.5" customHeight="1" thickBot="1">
      <c r="A38" s="54"/>
      <c r="B38" s="63" t="s">
        <v>34</v>
      </c>
      <c r="C38" s="67">
        <f>SUM('Current Year Budget'!D38:K38)</f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56">
        <f>SUM(C38:L38)</f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ht="10.5" customHeight="1" thickBot="1"/>
    <row r="40" spans="1:13" ht="24" customHeight="1" thickBot="1">
      <c r="A40" s="60"/>
      <c r="B40" s="57" t="s">
        <v>84</v>
      </c>
      <c r="C40" s="58">
        <f aca="true" t="shared" si="4" ref="C40:M40">C6-C26</f>
        <v>154465.30967892543</v>
      </c>
      <c r="D40" s="58">
        <f t="shared" si="4"/>
        <v>-39400</v>
      </c>
      <c r="E40" s="58">
        <f t="shared" si="4"/>
        <v>-60999</v>
      </c>
      <c r="F40" s="58">
        <f t="shared" si="4"/>
        <v>33500</v>
      </c>
      <c r="G40" s="58">
        <f t="shared" si="4"/>
        <v>70000</v>
      </c>
      <c r="H40" s="58">
        <f t="shared" si="4"/>
        <v>-32000</v>
      </c>
      <c r="I40" s="58">
        <f t="shared" si="4"/>
        <v>20000</v>
      </c>
      <c r="J40" s="58">
        <f t="shared" si="4"/>
        <v>-17700</v>
      </c>
      <c r="K40" s="58">
        <f t="shared" si="4"/>
        <v>-4000</v>
      </c>
      <c r="L40" s="58">
        <f t="shared" si="4"/>
        <v>-27500</v>
      </c>
      <c r="M40" s="59">
        <f t="shared" si="4"/>
        <v>96366.3096789252</v>
      </c>
    </row>
    <row r="41" ht="18" customHeight="1">
      <c r="B41" s="14" t="s">
        <v>40</v>
      </c>
    </row>
    <row r="42" ht="18" customHeight="1"/>
    <row r="43" spans="2:12" ht="12.75" customHeight="1">
      <c r="B43" s="72" t="s">
        <v>59</v>
      </c>
      <c r="C43" s="73"/>
      <c r="D43" s="74">
        <f>D26</f>
        <v>40000</v>
      </c>
      <c r="E43" s="74">
        <f>(E26+D26)/2</f>
        <v>50499.5</v>
      </c>
      <c r="F43" s="74">
        <f>(F26+E26+D26)/3</f>
        <v>47499.666666666664</v>
      </c>
      <c r="G43" s="74">
        <f>(SUM(D26:G26))/4</f>
        <v>44374.75</v>
      </c>
      <c r="H43" s="74">
        <f>(SUM(D26:H26))/5</f>
        <v>47899.8</v>
      </c>
      <c r="I43" s="74">
        <f>(SUM(D26:I26))/6</f>
        <v>45749.833333333336</v>
      </c>
      <c r="J43" s="74">
        <f>(SUM(D26:J26))/7</f>
        <v>44599.857142857145</v>
      </c>
      <c r="K43" s="74">
        <f>(SUM(D26:K26))/8</f>
        <v>43274.875</v>
      </c>
      <c r="L43" s="75">
        <f>(SUM(D26:L26))/9</f>
        <v>42355.444444444445</v>
      </c>
    </row>
    <row r="45" ht="12.75" customHeight="1">
      <c r="B45" s="45" t="s">
        <v>58</v>
      </c>
    </row>
  </sheetData>
  <sheetProtection/>
  <mergeCells count="1">
    <mergeCell ref="A2:L2"/>
  </mergeCells>
  <printOptions/>
  <pageMargins left="0.45" right="0.45" top="0.75" bottom="0.75" header="0.3" footer="0.3"/>
  <pageSetup fitToHeight="1" fitToWidth="1" horizontalDpi="1200" verticalDpi="1200" orientation="landscape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6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40.28125" style="0" customWidth="1"/>
    <col min="2" max="2" width="15.28125" style="121" customWidth="1"/>
  </cols>
  <sheetData>
    <row r="2" ht="14.25">
      <c r="A2" s="126" t="s">
        <v>95</v>
      </c>
    </row>
    <row r="4" ht="14.25">
      <c r="A4" s="126" t="s">
        <v>101</v>
      </c>
    </row>
    <row r="5" spans="1:2" ht="14.25">
      <c r="A5" s="120" t="s">
        <v>94</v>
      </c>
      <c r="B5" s="121">
        <v>156000</v>
      </c>
    </row>
    <row r="6" spans="1:2" ht="14.25">
      <c r="A6" s="120" t="s">
        <v>96</v>
      </c>
      <c r="B6" s="121">
        <v>0</v>
      </c>
    </row>
    <row r="7" spans="1:2" ht="14.25">
      <c r="A7" s="120" t="s">
        <v>97</v>
      </c>
      <c r="B7" s="121">
        <v>0</v>
      </c>
    </row>
    <row r="8" spans="1:2" ht="14.25">
      <c r="A8" s="120" t="s">
        <v>98</v>
      </c>
      <c r="B8" s="121">
        <v>0</v>
      </c>
    </row>
    <row r="9" spans="1:3" ht="14.25">
      <c r="A9" s="126" t="s">
        <v>99</v>
      </c>
      <c r="B9" s="127">
        <f>SUM(B5:B8)</f>
        <v>156000</v>
      </c>
      <c r="C9" s="120" t="s">
        <v>108</v>
      </c>
    </row>
    <row r="12" ht="14.25">
      <c r="A12" s="126" t="s">
        <v>102</v>
      </c>
    </row>
    <row r="13" spans="1:2" ht="14.25">
      <c r="A13" s="123" t="s">
        <v>103</v>
      </c>
      <c r="B13" s="121">
        <v>150000</v>
      </c>
    </row>
    <row r="14" spans="1:2" ht="14.25">
      <c r="A14" s="120" t="s">
        <v>104</v>
      </c>
      <c r="B14" s="121">
        <v>0</v>
      </c>
    </row>
    <row r="15" spans="1:2" ht="14.25">
      <c r="A15" s="120" t="s">
        <v>105</v>
      </c>
      <c r="B15" s="121">
        <v>0</v>
      </c>
    </row>
    <row r="16" spans="1:3" ht="14.25">
      <c r="A16" s="128" t="s">
        <v>106</v>
      </c>
      <c r="B16" s="129">
        <f>SUM(B13:B15)</f>
        <v>150000</v>
      </c>
      <c r="C16" s="120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9"/>
  <sheetViews>
    <sheetView zoomScale="75" zoomScaleNormal="75" zoomScalePageLayoutView="0" workbookViewId="0" topLeftCell="A1">
      <selection activeCell="F28" sqref="F28"/>
    </sheetView>
  </sheetViews>
  <sheetFormatPr defaultColWidth="16.28125" defaultRowHeight="12.75" customHeight="1"/>
  <cols>
    <col min="1" max="1" width="1.7109375" style="6" customWidth="1"/>
    <col min="2" max="2" width="40.7109375" style="6" customWidth="1"/>
    <col min="3" max="3" width="15.7109375" style="6" customWidth="1"/>
    <col min="4" max="12" width="15.00390625" style="6" customWidth="1"/>
    <col min="13" max="251" width="16.421875" style="6" customWidth="1"/>
    <col min="252" max="16384" width="16.28125" style="9" customWidth="1"/>
  </cols>
  <sheetData>
    <row r="1" spans="2:10" ht="32.25" customHeight="1">
      <c r="B1" s="47" t="s">
        <v>47</v>
      </c>
      <c r="I1" s="46"/>
      <c r="J1" s="49" t="s">
        <v>48</v>
      </c>
    </row>
    <row r="2" spans="1:251" s="8" customFormat="1" ht="22.5" customHeight="1">
      <c r="A2" s="106" t="s">
        <v>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2:10" s="4" customFormat="1" ht="26.25" customHeight="1">
      <c r="B3" s="25"/>
      <c r="J3" s="4" t="s">
        <v>81</v>
      </c>
    </row>
    <row r="4" s="4" customFormat="1" ht="16.5" customHeight="1">
      <c r="A4" s="22"/>
    </row>
    <row r="5" spans="1:12" s="4" customFormat="1" ht="16.5" customHeight="1">
      <c r="A5" s="22"/>
      <c r="B5" s="69" t="s">
        <v>90</v>
      </c>
      <c r="D5" s="124">
        <f>'Opening Cash Balance'!B9</f>
        <v>156000</v>
      </c>
      <c r="E5" s="122" t="s">
        <v>100</v>
      </c>
      <c r="F5" s="65"/>
      <c r="G5" s="65"/>
      <c r="H5" s="65"/>
      <c r="I5" s="65"/>
      <c r="J5" s="65"/>
      <c r="K5" s="65"/>
      <c r="L5" s="65"/>
    </row>
    <row r="6" spans="1:12" s="4" customFormat="1" ht="20.25" customHeight="1">
      <c r="A6" s="22"/>
      <c r="B6" s="117"/>
      <c r="C6" s="65"/>
      <c r="D6" s="111"/>
      <c r="E6" s="65"/>
      <c r="F6" s="65"/>
      <c r="G6" s="65"/>
      <c r="H6" s="65"/>
      <c r="I6" s="65"/>
      <c r="J6" s="65"/>
      <c r="K6" s="65"/>
      <c r="L6" s="65"/>
    </row>
    <row r="7" spans="1:12" s="4" customFormat="1" ht="16.5" customHeight="1">
      <c r="A7" s="22"/>
      <c r="C7" s="65" t="s">
        <v>52</v>
      </c>
      <c r="D7" s="65" t="s">
        <v>10</v>
      </c>
      <c r="E7" s="65" t="s">
        <v>11</v>
      </c>
      <c r="F7" s="65" t="s">
        <v>12</v>
      </c>
      <c r="G7" s="65" t="s">
        <v>1</v>
      </c>
      <c r="H7" s="65" t="s">
        <v>2</v>
      </c>
      <c r="I7" s="65" t="s">
        <v>3</v>
      </c>
      <c r="J7" s="65" t="s">
        <v>4</v>
      </c>
      <c r="K7" s="65" t="s">
        <v>5</v>
      </c>
      <c r="L7" s="65" t="s">
        <v>6</v>
      </c>
    </row>
    <row r="8" spans="1:251" ht="21" customHeight="1" thickBot="1">
      <c r="A8" s="10"/>
      <c r="B8" s="44" t="s">
        <v>62</v>
      </c>
      <c r="C8" s="1"/>
      <c r="D8" s="76">
        <f>D5</f>
        <v>156000</v>
      </c>
      <c r="E8" s="76">
        <f aca="true" t="shared" si="0" ref="E8:L8">D18</f>
        <v>116600</v>
      </c>
      <c r="F8" s="76">
        <f t="shared" si="0"/>
        <v>55601</v>
      </c>
      <c r="G8" s="76">
        <f t="shared" si="0"/>
        <v>89101</v>
      </c>
      <c r="H8" s="76">
        <f t="shared" si="0"/>
        <v>159101</v>
      </c>
      <c r="I8" s="76">
        <f t="shared" si="0"/>
        <v>127101</v>
      </c>
      <c r="J8" s="76">
        <f t="shared" si="0"/>
        <v>147101</v>
      </c>
      <c r="K8" s="76">
        <f t="shared" si="0"/>
        <v>129401</v>
      </c>
      <c r="L8" s="76">
        <f t="shared" si="0"/>
        <v>125401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9.5" customHeight="1">
      <c r="A9" s="15" t="s">
        <v>55</v>
      </c>
      <c r="B9" s="16"/>
      <c r="C9" s="32">
        <f>SUM(C10:C11)</f>
        <v>1213834.4074032512</v>
      </c>
      <c r="D9" s="32">
        <f aca="true" t="shared" si="1" ref="D9:L9">SUM(D10:D11)</f>
        <v>600</v>
      </c>
      <c r="E9" s="32">
        <f t="shared" si="1"/>
        <v>0</v>
      </c>
      <c r="F9" s="32">
        <f t="shared" si="1"/>
        <v>75000</v>
      </c>
      <c r="G9" s="32">
        <f t="shared" si="1"/>
        <v>105000</v>
      </c>
      <c r="H9" s="32">
        <f t="shared" si="1"/>
        <v>30000</v>
      </c>
      <c r="I9" s="32">
        <f t="shared" si="1"/>
        <v>55000</v>
      </c>
      <c r="J9" s="32">
        <f t="shared" si="1"/>
        <v>20000</v>
      </c>
      <c r="K9" s="32">
        <f t="shared" si="1"/>
        <v>30000</v>
      </c>
      <c r="L9" s="32">
        <f t="shared" si="1"/>
        <v>7500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9.5" customHeight="1">
      <c r="A10" s="42"/>
      <c r="B10" s="70" t="s">
        <v>57</v>
      </c>
      <c r="C10" s="71">
        <f>'Actuals and Projection'!C6</f>
        <v>1063834.4074032512</v>
      </c>
      <c r="D10" s="67">
        <f>'Actuals and Projection'!D6</f>
        <v>600</v>
      </c>
      <c r="E10" s="67">
        <f>'Actuals and Projection'!E6</f>
        <v>0</v>
      </c>
      <c r="F10" s="67">
        <f>'Actuals and Projection'!F6</f>
        <v>75000</v>
      </c>
      <c r="G10" s="67">
        <f>'Actuals and Projection'!G6</f>
        <v>105000</v>
      </c>
      <c r="H10" s="67">
        <f>'Actuals and Projection'!H6</f>
        <v>30000</v>
      </c>
      <c r="I10" s="67">
        <f>'Actuals and Projection'!I6</f>
        <v>55000</v>
      </c>
      <c r="J10" s="67">
        <f>'Actuals and Projection'!J6</f>
        <v>20000</v>
      </c>
      <c r="K10" s="67">
        <f>'Actuals and Projection'!K6</f>
        <v>30000</v>
      </c>
      <c r="L10" s="67">
        <f>'Actuals and Projection'!L6</f>
        <v>7500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9.5" customHeight="1">
      <c r="A11" s="43"/>
      <c r="B11" s="70" t="s">
        <v>56</v>
      </c>
      <c r="C11" s="125">
        <f>'Opening Cash Balance'!B16</f>
        <v>150000</v>
      </c>
      <c r="D11" s="67"/>
      <c r="E11" s="67"/>
      <c r="F11" s="67"/>
      <c r="G11" s="67"/>
      <c r="H11" s="67"/>
      <c r="I11" s="67"/>
      <c r="J11" s="67"/>
      <c r="K11" s="67"/>
      <c r="L11" s="6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8.75" customHeight="1" thickBot="1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9.5" customHeight="1">
      <c r="A13" s="50" t="s">
        <v>89</v>
      </c>
      <c r="B13" s="61"/>
      <c r="C13" s="51">
        <f>'Actuals and Projection'!C26</f>
        <v>909369.0977243257</v>
      </c>
      <c r="D13" s="51">
        <f>'Actuals and Projection'!D26</f>
        <v>40000</v>
      </c>
      <c r="E13" s="51">
        <f>'Actuals and Projection'!E26</f>
        <v>60999</v>
      </c>
      <c r="F13" s="51">
        <f>'Actuals and Projection'!F26</f>
        <v>41500</v>
      </c>
      <c r="G13" s="51">
        <f>'Actuals and Projection'!G26</f>
        <v>35000</v>
      </c>
      <c r="H13" s="51">
        <f>'Actuals and Projection'!H26</f>
        <v>62000</v>
      </c>
      <c r="I13" s="51">
        <f>'Actuals and Projection'!I26</f>
        <v>35000</v>
      </c>
      <c r="J13" s="51">
        <f>'Actuals and Projection'!J26</f>
        <v>37700</v>
      </c>
      <c r="K13" s="51">
        <f>'Actuals and Projection'!K26</f>
        <v>34000</v>
      </c>
      <c r="L13" s="51">
        <f>'Actuals and Projection'!L26</f>
        <v>35000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ht="10.5" customHeight="1" thickBot="1"/>
    <row r="15" spans="1:12" ht="24" customHeight="1" thickBot="1">
      <c r="A15" s="60"/>
      <c r="B15" s="57" t="s">
        <v>84</v>
      </c>
      <c r="C15" s="58">
        <f aca="true" t="shared" si="2" ref="C15:L15">C9-C13</f>
        <v>304465.30967892543</v>
      </c>
      <c r="D15" s="58">
        <f t="shared" si="2"/>
        <v>-39400</v>
      </c>
      <c r="E15" s="58">
        <f t="shared" si="2"/>
        <v>-60999</v>
      </c>
      <c r="F15" s="58">
        <f t="shared" si="2"/>
        <v>33500</v>
      </c>
      <c r="G15" s="58">
        <f t="shared" si="2"/>
        <v>70000</v>
      </c>
      <c r="H15" s="58">
        <f t="shared" si="2"/>
        <v>-32000</v>
      </c>
      <c r="I15" s="58">
        <f t="shared" si="2"/>
        <v>20000</v>
      </c>
      <c r="J15" s="58">
        <f t="shared" si="2"/>
        <v>-17700</v>
      </c>
      <c r="K15" s="58">
        <f t="shared" si="2"/>
        <v>-4000</v>
      </c>
      <c r="L15" s="58">
        <f t="shared" si="2"/>
        <v>-27500</v>
      </c>
    </row>
    <row r="16" ht="12.75" customHeight="1">
      <c r="B16" s="14"/>
    </row>
    <row r="18" spans="1:251" s="78" customFormat="1" ht="18" customHeight="1">
      <c r="A18" s="77"/>
      <c r="B18" s="78" t="s">
        <v>60</v>
      </c>
      <c r="C18" s="79">
        <f>D15+C15</f>
        <v>265065.30967892543</v>
      </c>
      <c r="D18" s="80">
        <f aca="true" t="shared" si="3" ref="D18:L18">D8+D15</f>
        <v>116600</v>
      </c>
      <c r="E18" s="80">
        <f t="shared" si="3"/>
        <v>55601</v>
      </c>
      <c r="F18" s="80">
        <f t="shared" si="3"/>
        <v>89101</v>
      </c>
      <c r="G18" s="80">
        <f t="shared" si="3"/>
        <v>159101</v>
      </c>
      <c r="H18" s="80">
        <f t="shared" si="3"/>
        <v>127101</v>
      </c>
      <c r="I18" s="80">
        <f t="shared" si="3"/>
        <v>147101</v>
      </c>
      <c r="J18" s="80">
        <f t="shared" si="3"/>
        <v>129401</v>
      </c>
      <c r="K18" s="80">
        <f t="shared" si="3"/>
        <v>125401</v>
      </c>
      <c r="L18" s="80">
        <f t="shared" si="3"/>
        <v>97901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2:12" s="81" customFormat="1" ht="12.75" customHeight="1">
      <c r="B19" s="82" t="s">
        <v>61</v>
      </c>
      <c r="C19" s="81">
        <f>C18/'Actuals and Projection'!D43</f>
        <v>6.626632741973136</v>
      </c>
      <c r="D19" s="81">
        <f>D18/'Actuals and Projection'!D43</f>
        <v>2.915</v>
      </c>
      <c r="E19" s="81">
        <f>E18/'Actuals and Projection'!E43</f>
        <v>1.1010208021861603</v>
      </c>
      <c r="F19" s="81">
        <f>F18/'Actuals and Projection'!F43</f>
        <v>1.875823689990807</v>
      </c>
      <c r="G19" s="81">
        <f>G18/'Actuals and Projection'!G43</f>
        <v>3.585394847294914</v>
      </c>
      <c r="H19" s="81">
        <f>H18/'Actuals and Projection'!H43</f>
        <v>2.6534766324702814</v>
      </c>
      <c r="I19" s="81">
        <f>I18/'Actuals and Projection'!I43</f>
        <v>3.2153341177927786</v>
      </c>
      <c r="J19" s="81">
        <f>J18/'Actuals and Projection'!J43</f>
        <v>2.9013770063324995</v>
      </c>
      <c r="K19" s="81">
        <f>K18/'Actuals and Projection'!K43</f>
        <v>2.8977784453450184</v>
      </c>
      <c r="L19" s="81">
        <f>L18/'Actuals and Projection'!L43</f>
        <v>2.311414772861419</v>
      </c>
    </row>
  </sheetData>
  <sheetProtection/>
  <mergeCells count="1">
    <mergeCell ref="A2:L2"/>
  </mergeCells>
  <printOptions/>
  <pageMargins left="0.45" right="0.45" top="0.75" bottom="0.5" header="0.3" footer="0.3"/>
  <pageSetup fitToHeight="1" fitToWidth="1" horizontalDpi="1200" verticalDpi="12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Bravo</dc:creator>
  <cp:keywords/>
  <dc:description/>
  <cp:lastModifiedBy>Debbie Thompson</cp:lastModifiedBy>
  <cp:lastPrinted>2020-03-25T16:34:34Z</cp:lastPrinted>
  <dcterms:created xsi:type="dcterms:W3CDTF">2020-03-25T01:07:29Z</dcterms:created>
  <dcterms:modified xsi:type="dcterms:W3CDTF">2020-04-14T10:07:08Z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0x01010087EEC6975390F24AA4BD34D908917BB7</vt:lpwstr>
  </property>
</Properties>
</file>